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 defaultThemeVersion="124226"/>
  <bookViews>
    <workbookView xWindow="10485" yWindow="120" windowWidth="14325" windowHeight="11955"/>
  </bookViews>
  <sheets>
    <sheet name="Vandgennemstrømning" sheetId="1" r:id="rId1"/>
  </sheets>
  <definedNames>
    <definedName name="A">Vandgennemstrømning!#REF!</definedName>
    <definedName name="areal">Vandgennemstrømning!$G$10</definedName>
    <definedName name="BFI">Vandgennemstrømning!$G$25</definedName>
    <definedName name="Fe">Vandgennemstrømning!$N$120</definedName>
    <definedName name="Fosfordeponi">Vandgennemstrømning!$Z$91</definedName>
    <definedName name="georegion">Vandgennemstrømning!$G$24</definedName>
    <definedName name="input">Vandgennemstrømning!$C$34:$R$37</definedName>
    <definedName name="j_9">Vandgennemstrømning!$G$23</definedName>
    <definedName name="js">Vandgennemstrømning!$G$22</definedName>
    <definedName name="nedbor">Vandgennemstrømning!$G$15</definedName>
    <definedName name="netto_nedboer">Vandgennemstrømning!$G$17</definedName>
    <definedName name="O">Vandgennemstrømning!#REF!</definedName>
    <definedName name="Oplands_A">Vandgennemstrømning!#REF!</definedName>
    <definedName name="oplands_areal">Vandgennemstrømning!$G$11</definedName>
    <definedName name="OplandsA">Vandgennemstrømning!#REF!</definedName>
    <definedName name="oplandsareal">Vandgennemstrømning!#REF!</definedName>
    <definedName name="P">Vandgennemstrømning!$N$119</definedName>
    <definedName name="Pdeponi">Vandgennemstrømning!$Z$91</definedName>
    <definedName name="Projekt_areal">Vandgennemstrømning!#REF!</definedName>
    <definedName name="PSØ">Vandgennemstrømning!$Z$102</definedName>
    <definedName name="Ptab">Vandgennemstrømning!$W$41</definedName>
    <definedName name="Q_OF">Vandgennemstrømning!$G$27</definedName>
    <definedName name="Reduktionsfaktor">Vandgennemstrømning!#REF!</definedName>
    <definedName name="Årlig_nedbør">Vandgennemstrømning!$G$13</definedName>
  </definedNames>
  <calcPr calcId="145621" iterate="1" iterateCount="1"/>
</workbook>
</file>

<file path=xl/calcChain.xml><?xml version="1.0" encoding="utf-8"?>
<calcChain xmlns="http://schemas.openxmlformats.org/spreadsheetml/2006/main">
  <c r="G25" i="1" l="1"/>
  <c r="AF36" i="1" l="1"/>
  <c r="AG36" i="1" s="1"/>
  <c r="AC36" i="1"/>
  <c r="AI36" i="1" s="1"/>
  <c r="V36" i="1"/>
  <c r="P36" i="1"/>
  <c r="J36" i="1"/>
  <c r="AI35" i="1"/>
  <c r="AF35" i="1"/>
  <c r="AG35" i="1" s="1"/>
  <c r="AC35" i="1"/>
  <c r="V35" i="1"/>
  <c r="P35" i="1"/>
  <c r="R36" i="1" l="1"/>
  <c r="AH36" i="1" s="1"/>
  <c r="AJ36" i="1" s="1"/>
  <c r="Q36" i="1"/>
  <c r="Q35" i="1"/>
  <c r="J34" i="1"/>
  <c r="P34" i="1"/>
  <c r="Q34" i="1"/>
  <c r="V34" i="1"/>
  <c r="AC34" i="1"/>
  <c r="AI34" i="1" s="1"/>
  <c r="AF34" i="1"/>
  <c r="AG34" i="1" s="1"/>
  <c r="R34" i="1" l="1"/>
  <c r="AH34" i="1" s="1"/>
  <c r="AJ34" i="1" s="1"/>
  <c r="Z103" i="1"/>
  <c r="Q37" i="1" l="1"/>
  <c r="P37" i="1"/>
  <c r="Z74" i="1" l="1"/>
  <c r="G15" i="1"/>
  <c r="G17" i="1" s="1"/>
  <c r="G27" i="1" s="1"/>
  <c r="AB68" i="1"/>
  <c r="AB73" i="1" s="1"/>
  <c r="AC37" i="1"/>
  <c r="AI37" i="1" s="1"/>
  <c r="AF37" i="1"/>
  <c r="AG37" i="1" s="1"/>
  <c r="V37" i="1"/>
  <c r="Z101" i="1"/>
  <c r="Z102" i="1" s="1"/>
  <c r="Z104" i="1" s="1"/>
  <c r="Z105" i="1" s="1"/>
  <c r="Z58" i="1"/>
  <c r="Z83" i="1" l="1"/>
  <c r="Z85" i="1" s="1"/>
  <c r="J35" i="1"/>
  <c r="R35" i="1" s="1"/>
  <c r="AH35" i="1" s="1"/>
  <c r="AJ35" i="1" s="1"/>
  <c r="J37" i="1"/>
  <c r="R37" i="1" s="1"/>
  <c r="AH37" i="1" s="1"/>
  <c r="Z84" i="1" l="1"/>
  <c r="Z89" i="1" s="1"/>
  <c r="Z90" i="1" s="1"/>
  <c r="Z91" i="1" s="1"/>
  <c r="W41" i="1"/>
  <c r="AJ37" i="1"/>
  <c r="W44" i="1" s="1"/>
  <c r="Z59" i="1" l="1"/>
  <c r="Z106" i="1"/>
  <c r="Z92" i="1"/>
</calcChain>
</file>

<file path=xl/sharedStrings.xml><?xml version="1.0" encoding="utf-8"?>
<sst xmlns="http://schemas.openxmlformats.org/spreadsheetml/2006/main" count="198" uniqueCount="167">
  <si>
    <t>Jordkernes længde                     (m)</t>
  </si>
  <si>
    <t>Jordkernes radius          (m)</t>
  </si>
  <si>
    <t>Frigivelsen beregnes ud fra proceduren beskrevet i kapitel 6 i vejledning.</t>
  </si>
  <si>
    <t>Fosfortilbageholdelse ved sedimentation</t>
  </si>
  <si>
    <t>Type projekt</t>
  </si>
  <si>
    <t>Drænet oplandsareal</t>
  </si>
  <si>
    <t>ha</t>
  </si>
  <si>
    <t>Fosfortilbageholdelse</t>
  </si>
  <si>
    <t>Oversvømmet areal</t>
  </si>
  <si>
    <t>Dage med oversvømmelse</t>
  </si>
  <si>
    <t>dage</t>
  </si>
  <si>
    <t>Vandløbstype</t>
  </si>
  <si>
    <t>Forventet tab af partikelbundet fosfor fra oplandet (beregnes med lingning 2, kapitel 5)</t>
  </si>
  <si>
    <t>Årsafstrømning</t>
  </si>
  <si>
    <t>‰ eller m/km</t>
  </si>
  <si>
    <t>Partikelbundet P (PP)</t>
  </si>
  <si>
    <t>Fosfordeponeringsrate</t>
  </si>
  <si>
    <t>I søer er sammenhængen mellem tilbageholdelsen af fosfor og vandets opholdstid modelmæssigt beskrevet af bl.a. Vollenweider 1976 (kapitel 8 i vejledningen).</t>
  </si>
  <si>
    <t>Andel sandjord i opland (S)</t>
  </si>
  <si>
    <t>Andel landbrugsjord i opland (A)</t>
  </si>
  <si>
    <t>Hældning på vandløb (SL)</t>
  </si>
  <si>
    <t>Andel af eng/mose i opland (EM)</t>
  </si>
  <si>
    <r>
      <t>Fe</t>
    </r>
    <r>
      <rPr>
        <b/>
        <vertAlign val="subscript"/>
        <sz val="10"/>
        <color indexed="63"/>
        <rFont val="Calibri"/>
        <family val="2"/>
      </rPr>
      <t>BD (0-30 cm)</t>
    </r>
    <r>
      <rPr>
        <b/>
        <sz val="10"/>
        <color indexed="63"/>
        <rFont val="Calibri"/>
        <family val="2"/>
      </rPr>
      <t xml:space="preserve">                           (mg Fe kg tør jord</t>
    </r>
    <r>
      <rPr>
        <b/>
        <vertAlign val="superscript"/>
        <sz val="10"/>
        <color indexed="63"/>
        <rFont val="Calibri"/>
        <family val="2"/>
      </rPr>
      <t>-1</t>
    </r>
    <r>
      <rPr>
        <b/>
        <sz val="10"/>
        <color indexed="63"/>
        <rFont val="Calibri"/>
        <family val="2"/>
      </rPr>
      <t>)</t>
    </r>
  </si>
  <si>
    <r>
      <t>Fosfor tab (kg P</t>
    </r>
    <r>
      <rPr>
        <b/>
        <vertAlign val="superscript"/>
        <sz val="10"/>
        <color indexed="63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>år</t>
    </r>
    <r>
      <rPr>
        <b/>
        <vertAlign val="superscript"/>
        <sz val="10"/>
        <color indexed="63"/>
        <rFont val="Calibri"/>
        <family val="2"/>
      </rPr>
      <t>-1</t>
    </r>
    <r>
      <rPr>
        <b/>
        <sz val="10"/>
        <color indexed="63"/>
        <rFont val="Calibri"/>
        <family val="2"/>
      </rPr>
      <t>)</t>
    </r>
  </si>
  <si>
    <r>
      <t>P</t>
    </r>
    <r>
      <rPr>
        <b/>
        <vertAlign val="subscript"/>
        <sz val="10"/>
        <color indexed="63"/>
        <rFont val="Calibri"/>
        <family val="2"/>
      </rPr>
      <t>BD</t>
    </r>
    <r>
      <rPr>
        <b/>
        <sz val="10"/>
        <color indexed="63"/>
        <rFont val="Calibri"/>
        <family val="2"/>
      </rPr>
      <t xml:space="preserve"> pulje (kg P ha</t>
    </r>
    <r>
      <rPr>
        <b/>
        <vertAlign val="superscript"/>
        <sz val="10"/>
        <color indexed="63"/>
        <rFont val="Calibri"/>
        <family val="2"/>
      </rPr>
      <t>-1</t>
    </r>
    <r>
      <rPr>
        <b/>
        <sz val="10"/>
        <color indexed="63"/>
        <rFont val="Calibri"/>
        <family val="2"/>
      </rPr>
      <t>)</t>
    </r>
  </si>
  <si>
    <r>
      <t>kg år</t>
    </r>
    <r>
      <rPr>
        <vertAlign val="superscript"/>
        <sz val="10"/>
        <color indexed="63"/>
        <rFont val="Calibri"/>
        <family val="2"/>
      </rPr>
      <t>-1</t>
    </r>
  </si>
  <si>
    <r>
      <t>kg P år</t>
    </r>
    <r>
      <rPr>
        <vertAlign val="superscript"/>
        <sz val="10"/>
        <color indexed="63"/>
        <rFont val="Calibri"/>
        <family val="2"/>
      </rPr>
      <t>-1</t>
    </r>
  </si>
  <si>
    <r>
      <t>mm år</t>
    </r>
    <r>
      <rPr>
        <vertAlign val="superscript"/>
        <sz val="10"/>
        <color indexed="63"/>
        <rFont val="Calibri"/>
        <family val="2"/>
      </rPr>
      <t>-1</t>
    </r>
  </si>
  <si>
    <r>
      <t>Q</t>
    </r>
    <r>
      <rPr>
        <vertAlign val="subscript"/>
        <sz val="10"/>
        <color indexed="63"/>
        <rFont val="Calibri"/>
        <family val="2"/>
      </rPr>
      <t>flom</t>
    </r>
  </si>
  <si>
    <r>
      <t>kg P ha</t>
    </r>
    <r>
      <rPr>
        <vertAlign val="superscript"/>
        <sz val="10"/>
        <color indexed="63"/>
        <rFont val="Calibri"/>
        <family val="2"/>
      </rPr>
      <t>-1</t>
    </r>
    <r>
      <rPr>
        <sz val="10"/>
        <color indexed="63"/>
        <rFont val="Calibri"/>
        <family val="2"/>
      </rPr>
      <t xml:space="preserve"> år</t>
    </r>
    <r>
      <rPr>
        <vertAlign val="superscript"/>
        <sz val="10"/>
        <color indexed="63"/>
        <rFont val="Calibri"/>
        <family val="2"/>
      </rPr>
      <t>-1</t>
    </r>
  </si>
  <si>
    <r>
      <t>mg P L</t>
    </r>
    <r>
      <rPr>
        <vertAlign val="superscript"/>
        <sz val="10"/>
        <color indexed="63"/>
        <rFont val="Calibri"/>
        <family val="2"/>
      </rPr>
      <t>-1</t>
    </r>
  </si>
  <si>
    <r>
      <t>m</t>
    </r>
    <r>
      <rPr>
        <vertAlign val="superscript"/>
        <sz val="10"/>
        <color indexed="63"/>
        <rFont val="Calibri"/>
        <family val="2"/>
      </rPr>
      <t>3</t>
    </r>
  </si>
  <si>
    <r>
      <t>m</t>
    </r>
    <r>
      <rPr>
        <vertAlign val="superscript"/>
        <sz val="10"/>
        <color indexed="63"/>
        <rFont val="Calibri"/>
        <family val="2"/>
      </rPr>
      <t>3</t>
    </r>
    <r>
      <rPr>
        <sz val="10"/>
        <color indexed="63"/>
        <rFont val="Calibri"/>
        <family val="2"/>
      </rPr>
      <t xml:space="preserve"> år</t>
    </r>
    <r>
      <rPr>
        <vertAlign val="superscript"/>
        <sz val="10"/>
        <color indexed="63"/>
        <rFont val="Calibri"/>
        <family val="2"/>
      </rPr>
      <t>-1</t>
    </r>
  </si>
  <si>
    <t>Moderat (&lt;25%)</t>
  </si>
  <si>
    <t>Intensiv (&gt;25%)</t>
  </si>
  <si>
    <r>
      <rPr>
        <b/>
        <sz val="11"/>
        <color indexed="63"/>
        <rFont val="Calibri"/>
        <family val="2"/>
      </rPr>
      <t>A:</t>
    </r>
    <r>
      <rPr>
        <sz val="11"/>
        <color indexed="63"/>
        <rFont val="Calibri"/>
        <family val="2"/>
      </rPr>
      <t xml:space="preserve"> Overrisling med drænvand</t>
    </r>
  </si>
  <si>
    <r>
      <rPr>
        <b/>
        <sz val="11"/>
        <color indexed="63"/>
        <rFont val="Calibri"/>
        <family val="2"/>
      </rPr>
      <t>B:</t>
    </r>
    <r>
      <rPr>
        <sz val="11"/>
        <color indexed="63"/>
        <rFont val="Calibri"/>
        <family val="2"/>
      </rPr>
      <t xml:space="preserve"> Oversvømmelse med vandløbsvand</t>
    </r>
  </si>
  <si>
    <r>
      <rPr>
        <b/>
        <sz val="11"/>
        <color indexed="63"/>
        <rFont val="Calibri"/>
        <family val="2"/>
      </rPr>
      <t>C:</t>
    </r>
    <r>
      <rPr>
        <sz val="11"/>
        <color indexed="63"/>
        <rFont val="Calibri"/>
        <family val="2"/>
      </rPr>
      <t xml:space="preserve"> Overrisling + oversvømmelse</t>
    </r>
  </si>
  <si>
    <r>
      <rPr>
        <b/>
        <sz val="11"/>
        <color indexed="63"/>
        <rFont val="Calibri"/>
        <family val="2"/>
      </rPr>
      <t>D:</t>
    </r>
    <r>
      <rPr>
        <sz val="11"/>
        <color indexed="63"/>
        <rFont val="Calibri"/>
        <family val="2"/>
      </rPr>
      <t xml:space="preserve"> Sødannelse</t>
    </r>
  </si>
  <si>
    <t>A</t>
  </si>
  <si>
    <t>B</t>
  </si>
  <si>
    <t>C</t>
  </si>
  <si>
    <t>D</t>
  </si>
  <si>
    <t>Permanent vådt</t>
  </si>
  <si>
    <t>Delvist vådt</t>
  </si>
  <si>
    <t>Tørt</t>
  </si>
  <si>
    <t>Bestemmelse af vandstrømning gennem projektområdet (kapitel 3)</t>
  </si>
  <si>
    <t>Projektområdets areal</t>
  </si>
  <si>
    <t>Data om projektområdet</t>
  </si>
  <si>
    <t>BFI regnes på baggrund af karakteristika for området (jf. afsnit 3.3)</t>
  </si>
  <si>
    <t>%</t>
  </si>
  <si>
    <t>Andel af sandjord (js)</t>
  </si>
  <si>
    <t>Andelen af humusjord (j9)</t>
  </si>
  <si>
    <t>Georegion</t>
  </si>
  <si>
    <t>Beregnet BFI</t>
  </si>
  <si>
    <t>Bestemmes via GIS procedure jf. afsnit 3.4</t>
  </si>
  <si>
    <t>Nettonedbør</t>
  </si>
  <si>
    <t>ID for prøvefelt</t>
  </si>
  <si>
    <t>Type</t>
  </si>
  <si>
    <t>Grundvandstand</t>
  </si>
  <si>
    <t>&lt;50</t>
  </si>
  <si>
    <t>&gt;50</t>
  </si>
  <si>
    <t>Type af område</t>
  </si>
  <si>
    <t>Tekstur</t>
  </si>
  <si>
    <t>Dræningsfaktor</t>
  </si>
  <si>
    <t>Drænings-faktor</t>
  </si>
  <si>
    <t>Dræningsintensitet</t>
  </si>
  <si>
    <t>Moderat</t>
  </si>
  <si>
    <t>Ingen</t>
  </si>
  <si>
    <t>Permeabilitet</t>
  </si>
  <si>
    <t>Vandgennemstrømningen bestemmes for hvert prøvefelt. Beregningerne følger beskrivelsen i kapitel 3</t>
  </si>
  <si>
    <t>Molvægt (g/mol)</t>
  </si>
  <si>
    <t>P</t>
  </si>
  <si>
    <t>Fe</t>
  </si>
  <si>
    <t>Korrektion af nedbør</t>
  </si>
  <si>
    <t>Frit eksponeret</t>
  </si>
  <si>
    <t>Moderat læ</t>
  </si>
  <si>
    <t>Ideelt læ</t>
  </si>
  <si>
    <t>Frit</t>
  </si>
  <si>
    <t>Ideelt</t>
  </si>
  <si>
    <t>År</t>
  </si>
  <si>
    <t>Fosforbalance</t>
  </si>
  <si>
    <r>
      <t>kg P år</t>
    </r>
    <r>
      <rPr>
        <b/>
        <vertAlign val="superscript"/>
        <sz val="11"/>
        <color indexed="63"/>
        <rFont val="Calibri"/>
        <family val="2"/>
      </rPr>
      <t>-1</t>
    </r>
  </si>
  <si>
    <t>Bestemmes fra figur 3.3 (mere detaljeret i vejledningen)</t>
  </si>
  <si>
    <t>Simplificeret figur 3.3</t>
  </si>
  <si>
    <t>Base flow index (BFI) og overfladenær strømning</t>
  </si>
  <si>
    <t xml:space="preserve">Fosforbalance for projektområdet </t>
  </si>
  <si>
    <t>Korrigeret årlig nedbør</t>
  </si>
  <si>
    <t>Potentiel fordampning</t>
  </si>
  <si>
    <t>Korrektion af nedbør for læforhold</t>
  </si>
  <si>
    <t>Kendes forholdene ikke, vælges moderat læ</t>
  </si>
  <si>
    <t>Gennemsnitlig årlig nedbør for 10-årig periode baseret på data fra DMI</t>
  </si>
  <si>
    <t>Gennemsnitlig årlig potentiel fordampning for 10-årig periode baseret på data fra DMI</t>
  </si>
  <si>
    <r>
      <t>mm år</t>
    </r>
    <r>
      <rPr>
        <vertAlign val="superscript"/>
        <sz val="10"/>
        <rFont val="Calibri"/>
        <family val="2"/>
      </rPr>
      <t>-1</t>
    </r>
  </si>
  <si>
    <t>Grundvandsdybde</t>
  </si>
  <si>
    <t>Højtliggende grundvandsspejl</t>
  </si>
  <si>
    <t>Dybtliggende grundvandsspejs (&gt;1m)</t>
  </si>
  <si>
    <t>Volumen af sø</t>
  </si>
  <si>
    <t>Opholdstid</t>
  </si>
  <si>
    <t>år</t>
  </si>
  <si>
    <r>
      <rPr>
        <b/>
        <sz val="11"/>
        <color indexed="63"/>
        <rFont val="Calibri"/>
        <family val="2"/>
      </rPr>
      <t>3:</t>
    </r>
    <r>
      <rPr>
        <sz val="11"/>
        <color indexed="63"/>
        <rFont val="Calibri"/>
        <family val="2"/>
      </rPr>
      <t xml:space="preserve"> Oplandsareal &gt;100 km2</t>
    </r>
  </si>
  <si>
    <r>
      <rPr>
        <b/>
        <sz val="11"/>
        <color indexed="63"/>
        <rFont val="Calibri"/>
        <family val="2"/>
      </rPr>
      <t>2:</t>
    </r>
    <r>
      <rPr>
        <sz val="11"/>
        <color indexed="63"/>
        <rFont val="Calibri"/>
        <family val="2"/>
      </rPr>
      <t xml:space="preserve"> Oplandsareal 10-100 km2</t>
    </r>
  </si>
  <si>
    <r>
      <rPr>
        <b/>
        <sz val="11"/>
        <color indexed="63"/>
        <rFont val="Calibri"/>
        <family val="2"/>
      </rPr>
      <t>1:</t>
    </r>
    <r>
      <rPr>
        <sz val="11"/>
        <color indexed="63"/>
        <rFont val="Calibri"/>
        <family val="2"/>
      </rPr>
      <t xml:space="preserve"> Oplandsareal &lt;10 km2, dog min. 2 km</t>
    </r>
    <r>
      <rPr>
        <vertAlign val="superscript"/>
        <sz val="11"/>
        <color indexed="63"/>
        <rFont val="Calibri"/>
        <family val="2"/>
      </rPr>
      <t>2</t>
    </r>
  </si>
  <si>
    <t>meter fra vandløbet (oversvømmet areal)</t>
  </si>
  <si>
    <t>Type af projekt</t>
  </si>
  <si>
    <t>Vægt af ovntørret prøve                               (kg)</t>
  </si>
  <si>
    <t>Fosfordeponering</t>
  </si>
  <si>
    <t>Skjules når det endelige ark laves</t>
  </si>
  <si>
    <t>Bestemmes fra jordbundskort</t>
  </si>
  <si>
    <t>Årlig nedbør</t>
  </si>
  <si>
    <r>
      <t>Overfladenær strømning (Q</t>
    </r>
    <r>
      <rPr>
        <vertAlign val="subscript"/>
        <sz val="10"/>
        <color indexed="56"/>
        <rFont val="Calibri"/>
        <family val="2"/>
      </rPr>
      <t>OF</t>
    </r>
    <r>
      <rPr>
        <sz val="10"/>
        <color indexed="56"/>
        <rFont val="Calibri"/>
        <family val="2"/>
      </rPr>
      <t>)</t>
    </r>
  </si>
  <si>
    <r>
      <t>m</t>
    </r>
    <r>
      <rPr>
        <vertAlign val="superscript"/>
        <sz val="10"/>
        <color indexed="56"/>
        <rFont val="Calibri"/>
        <family val="2"/>
      </rPr>
      <t>3</t>
    </r>
    <r>
      <rPr>
        <sz val="10"/>
        <color indexed="56"/>
        <rFont val="Calibri"/>
        <family val="2"/>
      </rPr>
      <t xml:space="preserve"> år</t>
    </r>
    <r>
      <rPr>
        <vertAlign val="superscript"/>
        <sz val="10"/>
        <color indexed="56"/>
        <rFont val="Calibri"/>
        <family val="2"/>
      </rPr>
      <t>-1</t>
    </r>
  </si>
  <si>
    <r>
      <t>(Q</t>
    </r>
    <r>
      <rPr>
        <vertAlign val="subscript"/>
        <sz val="10"/>
        <color indexed="56"/>
        <rFont val="Calibri"/>
        <family val="2"/>
      </rPr>
      <t>OF</t>
    </r>
    <r>
      <rPr>
        <sz val="10"/>
        <color indexed="56"/>
        <rFont val="Calibri"/>
        <family val="2"/>
      </rPr>
      <t xml:space="preserve"> = (1-BFI) * nettonedbør * oplandsareal)</t>
    </r>
  </si>
  <si>
    <r>
      <t>P</t>
    </r>
    <r>
      <rPr>
        <b/>
        <vertAlign val="subscript"/>
        <sz val="10"/>
        <color indexed="63"/>
        <rFont val="Calibri"/>
        <family val="2"/>
      </rPr>
      <t>BD (0-30 cm)</t>
    </r>
    <r>
      <rPr>
        <b/>
        <sz val="10"/>
        <color indexed="63"/>
        <rFont val="Calibri"/>
        <family val="2"/>
      </rPr>
      <t xml:space="preserve">                          (mg P kg tør jord</t>
    </r>
    <r>
      <rPr>
        <b/>
        <vertAlign val="superscript"/>
        <sz val="10"/>
        <color indexed="63"/>
        <rFont val="Calibri"/>
        <family val="2"/>
      </rPr>
      <t>-1</t>
    </r>
    <r>
      <rPr>
        <b/>
        <sz val="10"/>
        <color indexed="63"/>
        <rFont val="Calibri"/>
        <family val="2"/>
      </rPr>
      <t>)</t>
    </r>
  </si>
  <si>
    <t>Tekstur og permeabilitet bestemmes vha. tabel 2.1</t>
  </si>
  <si>
    <t>Prøvefeltes placering over vandløbets sommer-middelvandstand                                    (jf. afsnit 3.2)</t>
  </si>
  <si>
    <t>Grundsvandsdybde                                         (m)</t>
  </si>
  <si>
    <t>Vandløbsstrækning</t>
  </si>
  <si>
    <t>m</t>
  </si>
  <si>
    <t>Bredde for sedimentationsområde</t>
  </si>
  <si>
    <r>
      <rPr>
        <b/>
        <sz val="10"/>
        <color indexed="8"/>
        <rFont val="Calibri"/>
        <family val="2"/>
      </rPr>
      <t>NB!</t>
    </r>
    <r>
      <rPr>
        <sz val="10"/>
        <color indexed="8"/>
        <rFont val="Calibri"/>
        <family val="2"/>
      </rPr>
      <t xml:space="preserve"> For søer med veldifineret ind- og udløb med diffusiv udveksling af fosfor mellem søsediment og vandsøjlen. I disse tilfælde skal der tages særskilt kontakt</t>
    </r>
  </si>
  <si>
    <t>til Naturstyrelsen for fastlæggelse af betydningen af denne proces.</t>
  </si>
  <si>
    <r>
      <rPr>
        <b/>
        <sz val="11"/>
        <color indexed="63"/>
        <rFont val="Calibri"/>
        <family val="2"/>
      </rPr>
      <t>C:</t>
    </r>
    <r>
      <rPr>
        <sz val="11"/>
        <color indexed="63"/>
        <rFont val="Calibri"/>
        <family val="2"/>
      </rPr>
      <t xml:space="preserve"> Sødannelse</t>
    </r>
  </si>
  <si>
    <t>Der må maks. regnes sedimentation for et område op til</t>
  </si>
  <si>
    <t>A: Overrisling (kapitel 4)</t>
  </si>
  <si>
    <t>B: Oversvømmelse (kapitel 5)</t>
  </si>
  <si>
    <t>C: Sødannelse (kapitel 8)</t>
  </si>
  <si>
    <r>
      <t>beregnes ud fra en vejledende værdi på 0.062 kg ha</t>
    </r>
    <r>
      <rPr>
        <vertAlign val="superscript"/>
        <sz val="10"/>
        <color indexed="63"/>
        <rFont val="Calibri"/>
        <family val="2"/>
      </rPr>
      <t>-1</t>
    </r>
    <r>
      <rPr>
        <sz val="10"/>
        <color indexed="63"/>
        <rFont val="Calibri"/>
        <family val="2"/>
      </rPr>
      <t xml:space="preserve"> år</t>
    </r>
    <r>
      <rPr>
        <vertAlign val="superscript"/>
        <sz val="10"/>
        <color indexed="63"/>
        <rFont val="Calibri"/>
        <family val="2"/>
      </rPr>
      <t>-1</t>
    </r>
  </si>
  <si>
    <t>Areal af prøvefelt      (ha)</t>
  </si>
  <si>
    <t>Længde af vandløbsstrækning grænsende op til projektområdet</t>
  </si>
  <si>
    <t>Modelberegnet oversvømmet areal</t>
  </si>
  <si>
    <t>Oversvømmelseshyppighed</t>
  </si>
  <si>
    <t>kg</t>
  </si>
  <si>
    <t>Dette regneark er et støtteværktøj til "Kvantificering af fosfortab fra N og P vådområder" version oktober 2013. De anvedte henvisninger til afnsit er til afsnit i denne vejledning.</t>
  </si>
  <si>
    <t>Den nødvendige information intastes i de hvide felter og indgår jf. formlerne præsenteret i vejledningen i beregningene i de lyse farvede felter.</t>
  </si>
  <si>
    <t>Bestemt jf. bilag 2</t>
  </si>
  <si>
    <t>Bestemt jf. afsnit 3.5</t>
  </si>
  <si>
    <t>Bestemt jf. afsnit 3.3</t>
  </si>
  <si>
    <t>Bestemmelse af vandgennemstrømning (kapitel 3)</t>
  </si>
  <si>
    <t>Drænings-intensitet             (jf. afsnit 3.6)</t>
  </si>
  <si>
    <t>Tabel til bestemmelse af permeabilitet (flere detaljer finde i afsnit 2.2 + 3.7)</t>
  </si>
  <si>
    <r>
      <t xml:space="preserve"> Q</t>
    </r>
    <r>
      <rPr>
        <b/>
        <vertAlign val="subscript"/>
        <sz val="10"/>
        <color indexed="56"/>
        <rFont val="Calibri"/>
        <family val="2"/>
      </rPr>
      <t>OF,areal</t>
    </r>
    <r>
      <rPr>
        <b/>
        <sz val="10"/>
        <color indexed="56"/>
        <rFont val="Calibri"/>
        <family val="2"/>
      </rPr>
      <t xml:space="preserve">  (afsnit 3.2)  </t>
    </r>
    <r>
      <rPr>
        <b/>
        <vertAlign val="subscript"/>
        <sz val="10"/>
        <color indexed="56"/>
        <rFont val="Calibri"/>
        <family val="2"/>
      </rPr>
      <t xml:space="preserve"> </t>
    </r>
    <r>
      <rPr>
        <b/>
        <sz val="10"/>
        <color indexed="56"/>
        <rFont val="Calibri"/>
        <family val="2"/>
      </rPr>
      <t>(mm år</t>
    </r>
    <r>
      <rPr>
        <b/>
        <vertAlign val="superscript"/>
        <sz val="10"/>
        <color indexed="56"/>
        <rFont val="Calibri"/>
        <family val="2"/>
      </rPr>
      <t>-1</t>
    </r>
    <r>
      <rPr>
        <b/>
        <sz val="10"/>
        <color indexed="56"/>
        <rFont val="Calibri"/>
        <family val="2"/>
      </rPr>
      <t>)</t>
    </r>
  </si>
  <si>
    <r>
      <t>Gennemstrømning (afsnit 3.2)                        (Q</t>
    </r>
    <r>
      <rPr>
        <b/>
        <vertAlign val="subscript"/>
        <sz val="10"/>
        <color indexed="56"/>
        <rFont val="Calibri"/>
        <family val="2"/>
      </rPr>
      <t>felt</t>
    </r>
    <r>
      <rPr>
        <b/>
        <sz val="10"/>
        <color indexed="56"/>
        <rFont val="Calibri"/>
        <family val="2"/>
      </rPr>
      <t>;mm år</t>
    </r>
    <r>
      <rPr>
        <b/>
        <vertAlign val="superscript"/>
        <sz val="10"/>
        <color indexed="56"/>
        <rFont val="Calibri"/>
        <family val="2"/>
      </rPr>
      <t>-1</t>
    </r>
    <r>
      <rPr>
        <b/>
        <sz val="10"/>
        <color indexed="56"/>
        <rFont val="Calibri"/>
        <family val="2"/>
      </rPr>
      <t>)</t>
    </r>
  </si>
  <si>
    <r>
      <t>Volumenvægt (ligning 6.3)        (kg m</t>
    </r>
    <r>
      <rPr>
        <b/>
        <vertAlign val="superscript"/>
        <sz val="10"/>
        <color indexed="63"/>
        <rFont val="Calibri"/>
        <family val="2"/>
      </rPr>
      <t>-3</t>
    </r>
    <r>
      <rPr>
        <b/>
        <sz val="10"/>
        <color indexed="63"/>
        <rFont val="Calibri"/>
        <family val="2"/>
      </rPr>
      <t>)</t>
    </r>
  </si>
  <si>
    <r>
      <t>Fe</t>
    </r>
    <r>
      <rPr>
        <b/>
        <vertAlign val="subscript"/>
        <sz val="10"/>
        <color indexed="63"/>
        <rFont val="Calibri"/>
        <family val="2"/>
      </rPr>
      <t>BD</t>
    </r>
    <r>
      <rPr>
        <b/>
        <sz val="10"/>
        <color indexed="63"/>
        <rFont val="Calibri"/>
        <family val="2"/>
      </rPr>
      <t>:P</t>
    </r>
    <r>
      <rPr>
        <b/>
        <vertAlign val="subscript"/>
        <sz val="10"/>
        <color indexed="63"/>
        <rFont val="Calibri"/>
        <family val="2"/>
      </rPr>
      <t>BD</t>
    </r>
    <r>
      <rPr>
        <b/>
        <sz val="10"/>
        <color indexed="63"/>
        <rFont val="Calibri"/>
        <family val="2"/>
      </rPr>
      <t xml:space="preserve"> (ligning 6.2) molforhold </t>
    </r>
  </si>
  <si>
    <t>Tilbageholdelsen beregnes ud fra proceduren beskrevet i kapitel 4 og 5 i vejledning, og er afhænger af typen af vådområde. Fosfor balancen er beregnet jf. kapitel 8.</t>
  </si>
  <si>
    <r>
      <t>(areal*Q</t>
    </r>
    <r>
      <rPr>
        <vertAlign val="subscript"/>
        <sz val="10"/>
        <color rgb="FF2B2137"/>
        <rFont val="Calibri"/>
        <family val="2"/>
        <scheme val="minor"/>
      </rPr>
      <t>felt</t>
    </r>
    <r>
      <rPr>
        <sz val="10"/>
        <color rgb="FF2B2137"/>
        <rFont val="Calibri"/>
        <family val="2"/>
        <scheme val="minor"/>
      </rPr>
      <t>*frigivelses rate)</t>
    </r>
  </si>
  <si>
    <t>Manuelt beregnet oversvømmet areal</t>
  </si>
  <si>
    <t>Oversvømmet areal bestemmes efter kapitel 5 i vejledningen - manuel eller modelberegnet</t>
  </si>
  <si>
    <r>
      <t>antal dage år</t>
    </r>
    <r>
      <rPr>
        <vertAlign val="superscript"/>
        <sz val="10"/>
        <color rgb="FF2B2137"/>
        <rFont val="Calibri"/>
        <family val="2"/>
        <scheme val="minor"/>
      </rPr>
      <t>-1</t>
    </r>
  </si>
  <si>
    <t>Negativ værdi indikerer fosforfrigivelse</t>
  </si>
  <si>
    <t>kg P år-1</t>
  </si>
  <si>
    <t>Årligt tilført P</t>
  </si>
  <si>
    <t>Årligt fraført P</t>
  </si>
  <si>
    <t>Faktor</t>
  </si>
  <si>
    <r>
      <t>kg P oversvømmet ha</t>
    </r>
    <r>
      <rPr>
        <vertAlign val="superscript"/>
        <sz val="10"/>
        <color indexed="63"/>
        <rFont val="Calibri"/>
        <family val="2"/>
      </rPr>
      <t>-1</t>
    </r>
    <r>
      <rPr>
        <sz val="10"/>
        <color indexed="63"/>
        <rFont val="Calibri"/>
        <family val="2"/>
      </rPr>
      <t xml:space="preserve"> dag</t>
    </r>
    <r>
      <rPr>
        <vertAlign val="superscript"/>
        <sz val="10"/>
        <color indexed="63"/>
        <rFont val="Calibri"/>
        <family val="2"/>
      </rPr>
      <t>-1</t>
    </r>
  </si>
  <si>
    <t>Direkte oplandsareal til projektområde</t>
  </si>
  <si>
    <t>Fosforfrigivelse fra projektområdet</t>
  </si>
  <si>
    <r>
      <t>P-frigivelsesrate (ligning 6.1)               (kg P ha</t>
    </r>
    <r>
      <rPr>
        <b/>
        <vertAlign val="superscript"/>
        <sz val="10"/>
        <color indexed="63"/>
        <rFont val="Calibri"/>
        <family val="2"/>
      </rPr>
      <t>-1</t>
    </r>
    <r>
      <rPr>
        <b/>
        <sz val="10"/>
        <color indexed="63"/>
        <rFont val="Calibri"/>
        <family val="2"/>
      </rPr>
      <t xml:space="preserve"> mm</t>
    </r>
    <r>
      <rPr>
        <b/>
        <vertAlign val="superscript"/>
        <sz val="10"/>
        <color indexed="63"/>
        <rFont val="Calibri"/>
        <family val="2"/>
      </rPr>
      <t>-1</t>
    </r>
    <r>
      <rPr>
        <b/>
        <sz val="10"/>
        <color indexed="63"/>
        <rFont val="Calibri"/>
        <family val="2"/>
      </rPr>
      <t>)</t>
    </r>
  </si>
  <si>
    <r>
      <t>P</t>
    </r>
    <r>
      <rPr>
        <b/>
        <vertAlign val="subscript"/>
        <sz val="10"/>
        <color indexed="63"/>
        <rFont val="Calibri"/>
        <family val="2"/>
      </rPr>
      <t>BD</t>
    </r>
    <r>
      <rPr>
        <b/>
        <sz val="10"/>
        <color indexed="63"/>
        <rFont val="Calibri"/>
        <family val="2"/>
      </rPr>
      <t xml:space="preserve"> total                (kg P)</t>
    </r>
  </si>
  <si>
    <t>Samlet fosfortab fra projektområdet</t>
  </si>
  <si>
    <r>
      <t>Samlet mobil fosfor (P</t>
    </r>
    <r>
      <rPr>
        <vertAlign val="subscript"/>
        <sz val="10"/>
        <color indexed="8"/>
        <rFont val="Calibri"/>
        <family val="2"/>
      </rPr>
      <t>BD</t>
    </r>
    <r>
      <rPr>
        <sz val="10"/>
        <color indexed="8"/>
        <rFont val="Calibri"/>
        <family val="2"/>
      </rPr>
      <t xml:space="preserve">) pulje i projektetområdet med risiko for fosfortab </t>
    </r>
  </si>
  <si>
    <r>
      <t>Fosforkoncentration i indløb (P</t>
    </r>
    <r>
      <rPr>
        <vertAlign val="subscript"/>
        <sz val="10"/>
        <color indexed="63"/>
        <rFont val="Calibri"/>
        <family val="2"/>
      </rPr>
      <t>indløb</t>
    </r>
    <r>
      <rPr>
        <sz val="10"/>
        <color indexed="63"/>
        <rFont val="Calibri"/>
        <family val="2"/>
      </rPr>
      <t>)</t>
    </r>
  </si>
  <si>
    <t>Vandføring til sø</t>
  </si>
  <si>
    <t>Fosforkoncentration i sø (Psø)</t>
  </si>
  <si>
    <t>Foforretention</t>
  </si>
  <si>
    <t>Denne version er opdateret 26-06-2014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</si>
</sst>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48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vertAlign val="superscript"/>
      <sz val="11"/>
      <color indexed="63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vertAlign val="subscript"/>
      <sz val="10"/>
      <color indexed="56"/>
      <name val="Calibri"/>
      <family val="2"/>
    </font>
    <font>
      <vertAlign val="superscript"/>
      <sz val="10"/>
      <color indexed="56"/>
      <name val="Calibri"/>
      <family val="2"/>
    </font>
    <font>
      <sz val="10"/>
      <color indexed="63"/>
      <name val="Calibri"/>
      <family val="2"/>
    </font>
    <font>
      <b/>
      <vertAlign val="subscript"/>
      <sz val="10"/>
      <color indexed="56"/>
      <name val="Calibri"/>
      <family val="2"/>
    </font>
    <font>
      <b/>
      <vertAlign val="superscript"/>
      <sz val="10"/>
      <color indexed="56"/>
      <name val="Calibri"/>
      <family val="2"/>
    </font>
    <font>
      <b/>
      <sz val="10"/>
      <color indexed="63"/>
      <name val="Calibri"/>
      <family val="2"/>
    </font>
    <font>
      <b/>
      <vertAlign val="superscript"/>
      <sz val="10"/>
      <color indexed="63"/>
      <name val="Calibri"/>
      <family val="2"/>
    </font>
    <font>
      <b/>
      <vertAlign val="subscript"/>
      <sz val="10"/>
      <color indexed="63"/>
      <name val="Calibri"/>
      <family val="2"/>
    </font>
    <font>
      <vertAlign val="superscript"/>
      <sz val="10"/>
      <color indexed="63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0"/>
      <color indexed="63"/>
      <name val="Calibri"/>
      <family val="2"/>
    </font>
    <font>
      <b/>
      <sz val="26"/>
      <color indexed="9"/>
      <name val="Arial Unicode MS"/>
      <family val="2"/>
    </font>
    <font>
      <b/>
      <vertAlign val="superscript"/>
      <sz val="11"/>
      <color indexed="63"/>
      <name val="Calibri"/>
      <family val="2"/>
    </font>
    <font>
      <vertAlign val="superscript"/>
      <sz val="10"/>
      <name val="Calibri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B2137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B2137"/>
      <name val="Calibri"/>
      <family val="2"/>
      <scheme val="minor"/>
    </font>
    <font>
      <b/>
      <sz val="10"/>
      <color rgb="FF2B2137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rgb="FF2B2137"/>
      <name val="Calibri"/>
      <family val="2"/>
      <scheme val="minor"/>
    </font>
    <font>
      <b/>
      <i/>
      <sz val="11"/>
      <color rgb="FF2B2137"/>
      <name val="Calibri"/>
      <family val="2"/>
      <scheme val="minor"/>
    </font>
    <font>
      <i/>
      <sz val="10"/>
      <color rgb="FF2B2137"/>
      <name val="Calibri"/>
      <family val="2"/>
      <scheme val="minor"/>
    </font>
    <font>
      <b/>
      <sz val="11"/>
      <color rgb="FF2B2137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vertAlign val="subscript"/>
      <sz val="10"/>
      <color rgb="FF2B2137"/>
      <name val="Calibri"/>
      <family val="2"/>
      <scheme val="minor"/>
    </font>
    <font>
      <vertAlign val="superscript"/>
      <sz val="10"/>
      <color rgb="FF2B2137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B6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/>
      <right/>
      <top/>
      <bottom style="medium">
        <color rgb="FF2B2137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theme="3" tint="-0.249977111117893"/>
      </top>
      <bottom/>
      <diagonal/>
    </border>
    <border>
      <left/>
      <right style="thin">
        <color theme="1" tint="0.249977111117893"/>
      </right>
      <top style="medium">
        <color rgb="FF2B2137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theme="1" tint="0.249977111117893"/>
      </right>
      <top style="medium">
        <color theme="3" tint="-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medium">
        <color rgb="FF2B2137"/>
      </top>
      <bottom/>
      <diagonal/>
    </border>
    <border>
      <left style="thin">
        <color theme="1" tint="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 style="thin">
        <color theme="1" tint="0.249977111117893"/>
      </left>
      <right style="thin">
        <color indexed="64"/>
      </right>
      <top style="medium">
        <color theme="3" tint="-0.249977111117893"/>
      </top>
      <bottom/>
      <diagonal/>
    </border>
    <border>
      <left style="thin">
        <color theme="1" tint="0.249977111117893"/>
      </left>
      <right/>
      <top style="medium">
        <color rgb="FF2B2137"/>
      </top>
      <bottom style="medium">
        <color rgb="FF2B2137"/>
      </bottom>
      <diagonal/>
    </border>
    <border>
      <left/>
      <right style="thin">
        <color theme="1" tint="0.249977111117893"/>
      </right>
      <top style="medium">
        <color rgb="FF2B2137"/>
      </top>
      <bottom style="medium">
        <color rgb="FF2B2137"/>
      </bottom>
      <diagonal/>
    </border>
    <border>
      <left/>
      <right/>
      <top style="medium">
        <color rgb="FF2B2137"/>
      </top>
      <bottom style="medium">
        <color rgb="FF2B2137"/>
      </bottom>
      <diagonal/>
    </border>
    <border>
      <left style="thin">
        <color theme="1" tint="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1" tint="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1" tint="0.249977111117893"/>
      </left>
      <right/>
      <top style="medium">
        <color rgb="FF2B2137"/>
      </top>
      <bottom style="medium">
        <color theme="1" tint="0.249977111117893"/>
      </bottom>
      <diagonal/>
    </border>
    <border>
      <left/>
      <right/>
      <top style="medium">
        <color rgb="FF2B2137"/>
      </top>
      <bottom style="medium">
        <color theme="1" tint="0.249977111117893"/>
      </bottom>
      <diagonal/>
    </border>
    <border>
      <left style="thin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249977111117893"/>
      </right>
      <top style="medium">
        <color rgb="FF2B2137"/>
      </top>
      <bottom style="medium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rgb="FF2B2137"/>
      </top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 style="thin">
        <color rgb="FF2B2137"/>
      </left>
      <right/>
      <top style="medium">
        <color rgb="FF2B2137"/>
      </top>
      <bottom style="medium">
        <color theme="1" tint="0.249977111117893"/>
      </bottom>
      <diagonal/>
    </border>
    <border>
      <left style="thin">
        <color rgb="FF2B2137"/>
      </left>
      <right/>
      <top style="medium">
        <color theme="1" tint="0.249977111117893"/>
      </top>
      <bottom style="medium">
        <color theme="1" tint="0.249977111117893"/>
      </bottom>
      <diagonal/>
    </border>
    <border>
      <left style="thin">
        <color rgb="FF2B2137"/>
      </left>
      <right/>
      <top/>
      <bottom style="medium">
        <color theme="1" tint="0.249977111117893"/>
      </bottom>
      <diagonal/>
    </border>
    <border>
      <left style="thin">
        <color indexed="64"/>
      </left>
      <right/>
      <top style="medium">
        <color theme="3" tint="-0.249977111117893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249977111117893"/>
      </right>
      <top style="medium">
        <color theme="3" tint="-0.249977111117893"/>
      </top>
      <bottom style="medium">
        <color indexed="64"/>
      </bottom>
      <diagonal/>
    </border>
    <border>
      <left style="thin">
        <color theme="1" tint="0.249977111117893"/>
      </left>
      <right/>
      <top style="medium">
        <color theme="3" tint="-0.249977111117893"/>
      </top>
      <bottom style="medium">
        <color indexed="64"/>
      </bottom>
      <diagonal/>
    </border>
    <border>
      <left/>
      <right/>
      <top style="medium">
        <color theme="3" tint="-0.249977111117893"/>
      </top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theme="3" tint="-0.249977111117893"/>
      </top>
      <bottom style="medium">
        <color indexed="64"/>
      </bottom>
      <diagonal/>
    </border>
    <border>
      <left style="thin">
        <color theme="1" tint="0.249977111117893"/>
      </left>
      <right style="thin">
        <color indexed="64"/>
      </right>
      <top style="medium">
        <color theme="3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5" fillId="2" borderId="0" xfId="0" applyFont="1" applyFill="1"/>
    <xf numFmtId="0" fontId="26" fillId="2" borderId="0" xfId="0" applyFont="1" applyFill="1"/>
    <xf numFmtId="0" fontId="26" fillId="2" borderId="0" xfId="0" applyFont="1" applyFill="1" applyBorder="1"/>
    <xf numFmtId="0" fontId="0" fillId="3" borderId="0" xfId="0" applyFont="1" applyFill="1"/>
    <xf numFmtId="0" fontId="0" fillId="0" borderId="0" xfId="0" applyFont="1"/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/>
    <xf numFmtId="0" fontId="32" fillId="4" borderId="0" xfId="0" applyFont="1" applyFill="1" applyAlignment="1">
      <alignment horizontal="center"/>
    </xf>
    <xf numFmtId="0" fontId="33" fillId="4" borderId="0" xfId="0" applyFont="1" applyFill="1"/>
    <xf numFmtId="0" fontId="29" fillId="4" borderId="0" xfId="0" applyFont="1" applyFill="1" applyBorder="1"/>
    <xf numFmtId="0" fontId="28" fillId="4" borderId="0" xfId="0" applyFont="1" applyFill="1" applyBorder="1"/>
    <xf numFmtId="0" fontId="32" fillId="4" borderId="0" xfId="0" applyFont="1" applyFill="1"/>
    <xf numFmtId="0" fontId="0" fillId="5" borderId="0" xfId="0" applyFont="1" applyFill="1" applyAlignment="1">
      <alignment vertical="center"/>
    </xf>
    <xf numFmtId="0" fontId="0" fillId="5" borderId="0" xfId="0" applyFont="1" applyFill="1"/>
    <xf numFmtId="2" fontId="28" fillId="6" borderId="0" xfId="0" applyNumberFormat="1" applyFont="1" applyFill="1" applyBorder="1"/>
    <xf numFmtId="3" fontId="28" fillId="6" borderId="0" xfId="0" applyNumberFormat="1" applyFont="1" applyFill="1" applyBorder="1"/>
    <xf numFmtId="0" fontId="34" fillId="5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wrapText="1"/>
    </xf>
    <xf numFmtId="0" fontId="23" fillId="4" borderId="0" xfId="0" applyFont="1" applyFill="1"/>
    <xf numFmtId="0" fontId="0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2" fillId="4" borderId="1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wrapText="1"/>
    </xf>
    <xf numFmtId="3" fontId="38" fillId="6" borderId="3" xfId="0" applyNumberFormat="1" applyFont="1" applyFill="1" applyBorder="1" applyAlignment="1">
      <alignment horizontal="center"/>
    </xf>
    <xf numFmtId="0" fontId="36" fillId="7" borderId="4" xfId="0" applyFont="1" applyFill="1" applyBorder="1" applyAlignment="1">
      <alignment horizontal="center" wrapText="1"/>
    </xf>
    <xf numFmtId="0" fontId="28" fillId="8" borderId="5" xfId="0" applyFont="1" applyFill="1" applyBorder="1"/>
    <xf numFmtId="0" fontId="29" fillId="4" borderId="0" xfId="0" applyFont="1" applyFill="1" applyBorder="1" applyAlignment="1">
      <alignment horizontal="center" wrapText="1"/>
    </xf>
    <xf numFmtId="0" fontId="0" fillId="4" borderId="0" xfId="0" applyFont="1" applyFill="1" applyBorder="1"/>
    <xf numFmtId="0" fontId="36" fillId="2" borderId="0" xfId="0" applyFont="1" applyFill="1" applyAlignment="1">
      <alignment horizontal="center"/>
    </xf>
    <xf numFmtId="0" fontId="29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30" fillId="2" borderId="0" xfId="0" applyFont="1" applyFill="1"/>
    <xf numFmtId="0" fontId="36" fillId="2" borderId="0" xfId="0" applyFont="1" applyFill="1" applyBorder="1"/>
    <xf numFmtId="0" fontId="29" fillId="2" borderId="0" xfId="0" applyFont="1" applyFill="1" applyBorder="1"/>
    <xf numFmtId="0" fontId="39" fillId="2" borderId="0" xfId="0" applyFont="1" applyFill="1"/>
    <xf numFmtId="0" fontId="40" fillId="2" borderId="0" xfId="0" applyFont="1" applyFill="1" applyBorder="1"/>
    <xf numFmtId="0" fontId="41" fillId="2" borderId="0" xfId="0" applyFont="1" applyFill="1" applyBorder="1"/>
    <xf numFmtId="0" fontId="42" fillId="2" borderId="0" xfId="0" applyFont="1" applyFill="1"/>
    <xf numFmtId="0" fontId="36" fillId="2" borderId="0" xfId="0" applyFont="1" applyFill="1" applyAlignment="1">
      <alignment vertical="center"/>
    </xf>
    <xf numFmtId="0" fontId="36" fillId="2" borderId="0" xfId="0" applyFont="1" applyFill="1" applyBorder="1" applyAlignment="1">
      <alignment vertical="center"/>
    </xf>
    <xf numFmtId="0" fontId="40" fillId="2" borderId="0" xfId="0" applyFont="1" applyFill="1" applyBorder="1" applyAlignment="1"/>
    <xf numFmtId="0" fontId="0" fillId="8" borderId="0" xfId="0" applyFont="1" applyFill="1"/>
    <xf numFmtId="0" fontId="0" fillId="8" borderId="0" xfId="0" quotePrefix="1" applyFont="1" applyFill="1"/>
    <xf numFmtId="0" fontId="43" fillId="2" borderId="0" xfId="0" applyFont="1" applyFill="1"/>
    <xf numFmtId="0" fontId="26" fillId="8" borderId="0" xfId="0" applyFont="1" applyFill="1"/>
    <xf numFmtId="0" fontId="32" fillId="4" borderId="5" xfId="0" applyFont="1" applyFill="1" applyBorder="1"/>
    <xf numFmtId="0" fontId="32" fillId="4" borderId="5" xfId="0" applyFont="1" applyFill="1" applyBorder="1" applyAlignment="1">
      <alignment wrapText="1"/>
    </xf>
    <xf numFmtId="0" fontId="32" fillId="4" borderId="0" xfId="0" applyFont="1" applyFill="1" applyBorder="1" applyAlignment="1">
      <alignment wrapText="1"/>
    </xf>
    <xf numFmtId="0" fontId="28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0" fontId="24" fillId="5" borderId="0" xfId="0" applyFont="1" applyFill="1"/>
    <xf numFmtId="0" fontId="28" fillId="8" borderId="0" xfId="0" applyFont="1" applyFill="1" applyBorder="1" applyProtection="1">
      <protection locked="0"/>
    </xf>
    <xf numFmtId="0" fontId="28" fillId="8" borderId="6" xfId="0" applyFont="1" applyFill="1" applyBorder="1" applyProtection="1">
      <protection locked="0"/>
    </xf>
    <xf numFmtId="0" fontId="28" fillId="8" borderId="3" xfId="0" applyFont="1" applyFill="1" applyBorder="1" applyAlignment="1" applyProtection="1">
      <alignment horizontal="right"/>
      <protection locked="0"/>
    </xf>
    <xf numFmtId="0" fontId="28" fillId="8" borderId="3" xfId="0" applyFont="1" applyFill="1" applyBorder="1" applyAlignment="1" applyProtection="1">
      <alignment horizontal="left"/>
      <protection locked="0"/>
    </xf>
    <xf numFmtId="0" fontId="36" fillId="8" borderId="0" xfId="0" applyFont="1" applyFill="1" applyBorder="1" applyProtection="1">
      <protection locked="0"/>
    </xf>
    <xf numFmtId="0" fontId="36" fillId="8" borderId="0" xfId="0" applyFont="1" applyFill="1" applyBorder="1" applyAlignment="1" applyProtection="1">
      <protection locked="0"/>
    </xf>
    <xf numFmtId="2" fontId="28" fillId="4" borderId="0" xfId="0" applyNumberFormat="1" applyFont="1" applyFill="1"/>
    <xf numFmtId="0" fontId="43" fillId="4" borderId="0" xfId="0" applyFont="1" applyFill="1" applyAlignment="1">
      <alignment wrapText="1"/>
    </xf>
    <xf numFmtId="1" fontId="36" fillId="7" borderId="7" xfId="0" applyNumberFormat="1" applyFont="1" applyFill="1" applyBorder="1" applyAlignment="1">
      <alignment horizontal="center" wrapText="1"/>
    </xf>
    <xf numFmtId="2" fontId="28" fillId="8" borderId="6" xfId="0" applyNumberFormat="1" applyFont="1" applyFill="1" applyBorder="1" applyAlignment="1" applyProtection="1">
      <alignment horizontal="center"/>
      <protection locked="0"/>
    </xf>
    <xf numFmtId="2" fontId="36" fillId="8" borderId="7" xfId="0" applyNumberFormat="1" applyFont="1" applyFill="1" applyBorder="1" applyAlignment="1" applyProtection="1">
      <alignment horizontal="center" wrapText="1"/>
      <protection locked="0"/>
    </xf>
    <xf numFmtId="3" fontId="36" fillId="8" borderId="7" xfId="0" applyNumberFormat="1" applyFont="1" applyFill="1" applyBorder="1" applyAlignment="1" applyProtection="1">
      <alignment horizontal="center" wrapText="1"/>
      <protection locked="0"/>
    </xf>
    <xf numFmtId="1" fontId="36" fillId="7" borderId="0" xfId="0" applyNumberFormat="1" applyFont="1" applyFill="1" applyBorder="1"/>
    <xf numFmtId="0" fontId="25" fillId="3" borderId="0" xfId="0" applyFont="1" applyFill="1" applyAlignment="1">
      <alignment vertical="center"/>
    </xf>
    <xf numFmtId="0" fontId="24" fillId="9" borderId="0" xfId="0" applyFont="1" applyFill="1"/>
    <xf numFmtId="0" fontId="23" fillId="9" borderId="0" xfId="0" applyFont="1" applyFill="1"/>
    <xf numFmtId="1" fontId="28" fillId="6" borderId="0" xfId="0" applyNumberFormat="1" applyFont="1" applyFill="1" applyBorder="1"/>
    <xf numFmtId="0" fontId="44" fillId="2" borderId="0" xfId="0" applyFont="1" applyFill="1" applyAlignment="1">
      <alignment vertical="center"/>
    </xf>
    <xf numFmtId="0" fontId="23" fillId="3" borderId="0" xfId="0" applyFont="1" applyFill="1"/>
    <xf numFmtId="0" fontId="32" fillId="4" borderId="1" xfId="0" applyFont="1" applyFill="1" applyBorder="1" applyAlignment="1">
      <alignment horizontal="center" wrapText="1"/>
    </xf>
    <xf numFmtId="0" fontId="37" fillId="2" borderId="0" xfId="0" applyFont="1" applyFill="1"/>
    <xf numFmtId="0" fontId="37" fillId="2" borderId="0" xfId="0" applyFont="1" applyFill="1" applyAlignment="1">
      <alignment vertical="center"/>
    </xf>
    <xf numFmtId="165" fontId="36" fillId="7" borderId="7" xfId="0" applyNumberFormat="1" applyFont="1" applyFill="1" applyBorder="1" applyAlignment="1">
      <alignment horizontal="center" wrapText="1"/>
    </xf>
    <xf numFmtId="1" fontId="24" fillId="5" borderId="0" xfId="0" applyNumberFormat="1" applyFont="1" applyFill="1" applyBorder="1"/>
    <xf numFmtId="1" fontId="36" fillId="7" borderId="0" xfId="0" applyNumberFormat="1" applyFont="1" applyFill="1" applyBorder="1" applyProtection="1"/>
    <xf numFmtId="165" fontId="38" fillId="6" borderId="10" xfId="0" applyNumberFormat="1" applyFont="1" applyFill="1" applyBorder="1" applyAlignment="1">
      <alignment horizontal="right"/>
    </xf>
    <xf numFmtId="165" fontId="38" fillId="6" borderId="3" xfId="0" applyNumberFormat="1" applyFont="1" applyFill="1" applyBorder="1" applyAlignment="1">
      <alignment horizontal="right"/>
    </xf>
    <xf numFmtId="0" fontId="30" fillId="4" borderId="0" xfId="0" applyFont="1" applyFill="1" applyAlignment="1">
      <alignment horizontal="center"/>
    </xf>
    <xf numFmtId="0" fontId="37" fillId="2" borderId="2" xfId="0" applyFont="1" applyFill="1" applyBorder="1" applyAlignment="1">
      <alignment horizontal="center" wrapText="1"/>
    </xf>
    <xf numFmtId="164" fontId="36" fillId="8" borderId="0" xfId="0" applyNumberFormat="1" applyFont="1" applyFill="1" applyBorder="1" applyProtection="1">
      <protection locked="0"/>
    </xf>
    <xf numFmtId="164" fontId="36" fillId="7" borderId="0" xfId="0" applyNumberFormat="1" applyFont="1" applyFill="1" applyBorder="1"/>
    <xf numFmtId="1" fontId="36" fillId="7" borderId="17" xfId="0" applyNumberFormat="1" applyFont="1" applyFill="1" applyBorder="1" applyAlignment="1">
      <alignment horizontal="center" wrapText="1"/>
    </xf>
    <xf numFmtId="1" fontId="36" fillId="7" borderId="19" xfId="0" applyNumberFormat="1" applyFont="1" applyFill="1" applyBorder="1" applyAlignment="1">
      <alignment horizontal="center" wrapText="1"/>
    </xf>
    <xf numFmtId="2" fontId="36" fillId="8" borderId="21" xfId="0" applyNumberFormat="1" applyFont="1" applyFill="1" applyBorder="1" applyAlignment="1" applyProtection="1">
      <alignment horizontal="center" wrapText="1"/>
      <protection locked="0"/>
    </xf>
    <xf numFmtId="1" fontId="36" fillId="7" borderId="21" xfId="0" applyNumberFormat="1" applyFont="1" applyFill="1" applyBorder="1" applyAlignment="1">
      <alignment horizontal="center" wrapText="1"/>
    </xf>
    <xf numFmtId="3" fontId="36" fillId="8" borderId="21" xfId="0" applyNumberFormat="1" applyFont="1" applyFill="1" applyBorder="1" applyAlignment="1" applyProtection="1">
      <alignment horizontal="center" wrapText="1"/>
      <protection locked="0"/>
    </xf>
    <xf numFmtId="165" fontId="36" fillId="7" borderId="21" xfId="0" applyNumberFormat="1" applyFont="1" applyFill="1" applyBorder="1" applyAlignment="1">
      <alignment horizontal="center" wrapText="1"/>
    </xf>
    <xf numFmtId="1" fontId="36" fillId="7" borderId="22" xfId="0" applyNumberFormat="1" applyFont="1" applyFill="1" applyBorder="1" applyAlignment="1">
      <alignment horizontal="center" wrapText="1"/>
    </xf>
    <xf numFmtId="1" fontId="36" fillId="7" borderId="23" xfId="0" applyNumberFormat="1" applyFont="1" applyFill="1" applyBorder="1" applyAlignment="1">
      <alignment horizontal="center" wrapText="1"/>
    </xf>
    <xf numFmtId="1" fontId="36" fillId="7" borderId="24" xfId="0" applyNumberFormat="1" applyFont="1" applyFill="1" applyBorder="1" applyAlignment="1">
      <alignment horizontal="center" wrapText="1"/>
    </xf>
    <xf numFmtId="1" fontId="36" fillId="7" borderId="25" xfId="0" applyNumberFormat="1" applyFont="1" applyFill="1" applyBorder="1" applyAlignment="1">
      <alignment horizontal="center" wrapText="1"/>
    </xf>
    <xf numFmtId="1" fontId="38" fillId="6" borderId="26" xfId="0" applyNumberFormat="1" applyFont="1" applyFill="1" applyBorder="1" applyAlignment="1">
      <alignment horizontal="right"/>
    </xf>
    <xf numFmtId="1" fontId="38" fillId="6" borderId="27" xfId="0" applyNumberFormat="1" applyFont="1" applyFill="1" applyBorder="1" applyAlignment="1">
      <alignment horizontal="right"/>
    </xf>
    <xf numFmtId="0" fontId="28" fillId="8" borderId="29" xfId="0" applyFont="1" applyFill="1" applyBorder="1" applyProtection="1">
      <protection locked="0"/>
    </xf>
    <xf numFmtId="2" fontId="28" fillId="8" borderId="29" xfId="0" applyNumberFormat="1" applyFont="1" applyFill="1" applyBorder="1" applyAlignment="1" applyProtection="1">
      <alignment horizontal="center"/>
      <protection locked="0"/>
    </xf>
    <xf numFmtId="3" fontId="38" fillId="6" borderId="32" xfId="0" applyNumberFormat="1" applyFont="1" applyFill="1" applyBorder="1" applyAlignment="1">
      <alignment horizontal="center"/>
    </xf>
    <xf numFmtId="0" fontId="28" fillId="8" borderId="32" xfId="0" applyFont="1" applyFill="1" applyBorder="1" applyAlignment="1" applyProtection="1">
      <alignment horizontal="right"/>
      <protection locked="0"/>
    </xf>
    <xf numFmtId="0" fontId="28" fillId="8" borderId="32" xfId="0" applyFont="1" applyFill="1" applyBorder="1" applyAlignment="1" applyProtection="1">
      <alignment horizontal="left"/>
      <protection locked="0"/>
    </xf>
    <xf numFmtId="165" fontId="38" fillId="6" borderId="32" xfId="0" applyNumberFormat="1" applyFont="1" applyFill="1" applyBorder="1" applyAlignment="1">
      <alignment horizontal="right"/>
    </xf>
    <xf numFmtId="165" fontId="38" fillId="6" borderId="33" xfId="0" applyNumberFormat="1" applyFont="1" applyFill="1" applyBorder="1" applyAlignment="1">
      <alignment horizontal="right"/>
    </xf>
    <xf numFmtId="1" fontId="38" fillId="6" borderId="28" xfId="0" applyNumberFormat="1" applyFont="1" applyFill="1" applyBorder="1" applyAlignment="1">
      <alignment horizontal="right"/>
    </xf>
    <xf numFmtId="166" fontId="36" fillId="7" borderId="7" xfId="0" applyNumberFormat="1" applyFont="1" applyFill="1" applyBorder="1" applyAlignment="1">
      <alignment horizontal="center" wrapText="1"/>
    </xf>
    <xf numFmtId="166" fontId="36" fillId="7" borderId="21" xfId="0" applyNumberFormat="1" applyFont="1" applyFill="1" applyBorder="1" applyAlignment="1">
      <alignment horizontal="center" wrapText="1"/>
    </xf>
    <xf numFmtId="2" fontId="36" fillId="7" borderId="0" xfId="0" applyNumberFormat="1" applyFont="1" applyFill="1" applyBorder="1" applyProtection="1"/>
    <xf numFmtId="2" fontId="36" fillId="7" borderId="0" xfId="0" applyNumberFormat="1" applyFont="1" applyFill="1" applyBorder="1"/>
    <xf numFmtId="0" fontId="30" fillId="4" borderId="0" xfId="0" applyFont="1" applyFill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vertical="center"/>
    </xf>
    <xf numFmtId="164" fontId="36" fillId="8" borderId="17" xfId="0" applyNumberFormat="1" applyFont="1" applyFill="1" applyBorder="1" applyAlignment="1" applyProtection="1">
      <alignment horizontal="center" wrapText="1"/>
      <protection locked="0"/>
    </xf>
    <xf numFmtId="164" fontId="36" fillId="8" borderId="18" xfId="0" applyNumberFormat="1" applyFont="1" applyFill="1" applyBorder="1" applyAlignment="1" applyProtection="1">
      <alignment horizontal="center" wrapText="1"/>
      <protection locked="0"/>
    </xf>
    <xf numFmtId="164" fontId="36" fillId="8" borderId="20" xfId="0" applyNumberFormat="1" applyFont="1" applyFill="1" applyBorder="1" applyAlignment="1" applyProtection="1">
      <alignment horizontal="center" wrapText="1"/>
      <protection locked="0"/>
    </xf>
    <xf numFmtId="0" fontId="37" fillId="2" borderId="2" xfId="0" applyFont="1" applyFill="1" applyBorder="1" applyAlignment="1">
      <alignment horizontal="center" wrapText="1"/>
    </xf>
    <xf numFmtId="167" fontId="36" fillId="8" borderId="17" xfId="0" applyNumberFormat="1" applyFont="1" applyFill="1" applyBorder="1" applyAlignment="1" applyProtection="1">
      <alignment horizontal="center" wrapText="1"/>
      <protection locked="0"/>
    </xf>
    <xf numFmtId="167" fontId="36" fillId="8" borderId="20" xfId="0" applyNumberFormat="1" applyFont="1" applyFill="1" applyBorder="1" applyAlignment="1" applyProtection="1">
      <alignment horizontal="center" wrapText="1"/>
      <protection locked="0"/>
    </xf>
    <xf numFmtId="0" fontId="30" fillId="4" borderId="0" xfId="0" applyFont="1" applyFill="1" applyBorder="1" applyAlignment="1">
      <alignment horizontal="left" wrapText="1"/>
    </xf>
    <xf numFmtId="0" fontId="32" fillId="4" borderId="0" xfId="0" applyFont="1" applyFill="1" applyBorder="1" applyAlignment="1">
      <alignment horizontal="left" wrapText="1"/>
    </xf>
    <xf numFmtId="0" fontId="33" fillId="4" borderId="0" xfId="0" applyFont="1" applyFill="1" applyAlignment="1">
      <alignment horizontal="center" wrapText="1"/>
    </xf>
    <xf numFmtId="1" fontId="29" fillId="7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64" fontId="36" fillId="8" borderId="11" xfId="0" applyNumberFormat="1" applyFont="1" applyFill="1" applyBorder="1" applyAlignment="1" applyProtection="1">
      <alignment horizontal="center" wrapText="1"/>
      <protection locked="0"/>
    </xf>
    <xf numFmtId="164" fontId="36" fillId="8" borderId="13" xfId="0" applyNumberFormat="1" applyFont="1" applyFill="1" applyBorder="1" applyAlignment="1" applyProtection="1">
      <alignment horizontal="center" wrapText="1"/>
      <protection locked="0"/>
    </xf>
    <xf numFmtId="164" fontId="36" fillId="8" borderId="12" xfId="0" applyNumberFormat="1" applyFont="1" applyFill="1" applyBorder="1" applyAlignment="1" applyProtection="1">
      <alignment horizontal="center" wrapText="1"/>
      <protection locked="0"/>
    </xf>
    <xf numFmtId="167" fontId="36" fillId="8" borderId="11" xfId="0" applyNumberFormat="1" applyFont="1" applyFill="1" applyBorder="1" applyAlignment="1" applyProtection="1">
      <alignment horizontal="center" wrapText="1"/>
      <protection locked="0"/>
    </xf>
    <xf numFmtId="167" fontId="36" fillId="8" borderId="12" xfId="0" applyNumberFormat="1" applyFont="1" applyFill="1" applyBorder="1" applyAlignment="1" applyProtection="1">
      <alignment horizontal="center" wrapText="1"/>
      <protection locked="0"/>
    </xf>
    <xf numFmtId="0" fontId="19" fillId="9" borderId="0" xfId="0" applyFont="1" applyFill="1" applyBorder="1" applyAlignment="1">
      <alignment horizontal="center" vertical="center"/>
    </xf>
    <xf numFmtId="0" fontId="28" fillId="8" borderId="30" xfId="0" applyFont="1" applyFill="1" applyBorder="1" applyAlignment="1" applyProtection="1">
      <alignment horizontal="center" wrapText="1"/>
      <protection locked="0"/>
    </xf>
    <xf numFmtId="0" fontId="28" fillId="8" borderId="29" xfId="0" applyFont="1" applyFill="1" applyBorder="1" applyAlignment="1" applyProtection="1">
      <alignment horizontal="center" wrapText="1"/>
      <protection locked="0"/>
    </xf>
    <xf numFmtId="0" fontId="28" fillId="8" borderId="31" xfId="0" applyFont="1" applyFill="1" applyBorder="1" applyAlignment="1" applyProtection="1">
      <alignment horizontal="center" wrapText="1"/>
      <protection locked="0"/>
    </xf>
    <xf numFmtId="0" fontId="33" fillId="4" borderId="0" xfId="0" applyFont="1" applyFill="1" applyAlignment="1">
      <alignment horizontal="center"/>
    </xf>
    <xf numFmtId="0" fontId="38" fillId="8" borderId="30" xfId="0" applyFont="1" applyFill="1" applyBorder="1" applyAlignment="1" applyProtection="1">
      <alignment horizontal="center"/>
      <protection locked="0"/>
    </xf>
    <xf numFmtId="0" fontId="38" fillId="8" borderId="29" xfId="0" applyFont="1" applyFill="1" applyBorder="1" applyAlignment="1" applyProtection="1">
      <alignment horizontal="center"/>
      <protection locked="0"/>
    </xf>
    <xf numFmtId="0" fontId="28" fillId="8" borderId="14" xfId="0" applyFont="1" applyFill="1" applyBorder="1" applyAlignment="1" applyProtection="1">
      <alignment horizontal="center" wrapText="1"/>
      <protection locked="0"/>
    </xf>
    <xf numFmtId="0" fontId="28" fillId="8" borderId="15" xfId="0" applyFont="1" applyFill="1" applyBorder="1" applyAlignment="1" applyProtection="1">
      <alignment horizontal="center" wrapText="1"/>
      <protection locked="0"/>
    </xf>
    <xf numFmtId="0" fontId="28" fillId="8" borderId="16" xfId="0" applyFont="1" applyFill="1" applyBorder="1" applyAlignment="1" applyProtection="1">
      <alignment horizontal="center" wrapText="1"/>
      <protection locked="0"/>
    </xf>
    <xf numFmtId="0" fontId="38" fillId="8" borderId="14" xfId="0" applyFont="1" applyFill="1" applyBorder="1" applyAlignment="1" applyProtection="1">
      <alignment horizontal="center"/>
      <protection locked="0"/>
    </xf>
    <xf numFmtId="0" fontId="38" fillId="8" borderId="15" xfId="0" applyFont="1" applyFill="1" applyBorder="1" applyAlignment="1" applyProtection="1">
      <alignment horizontal="center"/>
      <protection locked="0"/>
    </xf>
    <xf numFmtId="0" fontId="28" fillId="8" borderId="8" xfId="0" applyFont="1" applyFill="1" applyBorder="1" applyAlignment="1" applyProtection="1">
      <alignment horizontal="center" wrapText="1"/>
      <protection locked="0"/>
    </xf>
    <xf numFmtId="0" fontId="28" fillId="8" borderId="6" xfId="0" applyFont="1" applyFill="1" applyBorder="1" applyAlignment="1" applyProtection="1">
      <alignment horizontal="center" wrapText="1"/>
      <protection locked="0"/>
    </xf>
    <xf numFmtId="0" fontId="28" fillId="8" borderId="9" xfId="0" applyFont="1" applyFill="1" applyBorder="1" applyAlignment="1" applyProtection="1">
      <alignment horizontal="center" wrapText="1"/>
      <protection locked="0"/>
    </xf>
    <xf numFmtId="0" fontId="47" fillId="3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39</xdr:row>
      <xdr:rowOff>28575</xdr:rowOff>
    </xdr:from>
    <xdr:to>
      <xdr:col>15</xdr:col>
      <xdr:colOff>473075</xdr:colOff>
      <xdr:row>59</xdr:row>
      <xdr:rowOff>19049</xdr:rowOff>
    </xdr:to>
    <xdr:pic>
      <xdr:nvPicPr>
        <xdr:cNvPr id="1033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3620750"/>
          <a:ext cx="72771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38100</xdr:rowOff>
    </xdr:from>
    <xdr:to>
      <xdr:col>5</xdr:col>
      <xdr:colOff>285750</xdr:colOff>
      <xdr:row>59</xdr:row>
      <xdr:rowOff>38099</xdr:rowOff>
    </xdr:to>
    <xdr:pic>
      <xdr:nvPicPr>
        <xdr:cNvPr id="1034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3630275"/>
          <a:ext cx="2276475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645584</xdr:colOff>
      <xdr:row>16</xdr:row>
      <xdr:rowOff>158749</xdr:rowOff>
    </xdr:from>
    <xdr:to>
      <xdr:col>17</xdr:col>
      <xdr:colOff>1287692</xdr:colOff>
      <xdr:row>28</xdr:row>
      <xdr:rowOff>143344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251" y="3534832"/>
          <a:ext cx="2451858" cy="2715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B134"/>
  <sheetViews>
    <sheetView tabSelected="1" zoomScale="90" zoomScaleNormal="90" zoomScalePageLayoutView="90" workbookViewId="0">
      <selection activeCell="G10" sqref="G10"/>
    </sheetView>
  </sheetViews>
  <sheetFormatPr defaultColWidth="8.85546875" defaultRowHeight="15" x14ac:dyDescent="0.25"/>
  <cols>
    <col min="1" max="1" width="4.28515625" style="4" customWidth="1"/>
    <col min="2" max="2" width="8" style="4" customWidth="1"/>
    <col min="3" max="3" width="11.85546875" style="4" customWidth="1"/>
    <col min="4" max="4" width="8.85546875" style="4"/>
    <col min="5" max="5" width="9.140625" style="4" customWidth="1"/>
    <col min="6" max="6" width="7.7109375" style="4" customWidth="1"/>
    <col min="7" max="7" width="14.28515625" style="4" customWidth="1"/>
    <col min="8" max="8" width="9.140625" style="4" customWidth="1"/>
    <col min="9" max="9" width="8.42578125" style="4" customWidth="1"/>
    <col min="10" max="10" width="9.42578125" style="4" customWidth="1"/>
    <col min="11" max="11" width="19" style="4" customWidth="1"/>
    <col min="12" max="12" width="16.140625" style="4" customWidth="1"/>
    <col min="13" max="13" width="16.85546875" style="4" customWidth="1"/>
    <col min="14" max="14" width="12.140625" style="4" customWidth="1"/>
    <col min="15" max="15" width="14.85546875" style="4" customWidth="1"/>
    <col min="16" max="16" width="12.28515625" style="4" customWidth="1"/>
    <col min="17" max="17" width="12.28515625" style="4" hidden="1" customWidth="1"/>
    <col min="18" max="18" width="19.28515625" style="4" customWidth="1"/>
    <col min="19" max="19" width="7.85546875" style="4" customWidth="1"/>
    <col min="20" max="20" width="5.28515625" style="4" customWidth="1"/>
    <col min="21" max="21" width="7.85546875" style="4" customWidth="1"/>
    <col min="22" max="22" width="8.85546875" style="4"/>
    <col min="23" max="23" width="9.42578125" style="4" customWidth="1"/>
    <col min="24" max="24" width="1.85546875" style="4" customWidth="1"/>
    <col min="25" max="25" width="11.28515625" style="4" customWidth="1"/>
    <col min="26" max="26" width="12.42578125" style="4" customWidth="1"/>
    <col min="27" max="27" width="6.140625" style="4" customWidth="1"/>
    <col min="28" max="28" width="4" style="4" customWidth="1"/>
    <col min="29" max="29" width="14.28515625" style="4" customWidth="1"/>
    <col min="30" max="30" width="18.140625" style="4" bestFit="1" customWidth="1"/>
    <col min="31" max="31" width="19.140625" style="4" bestFit="1" customWidth="1"/>
    <col min="32" max="32" width="11.7109375" style="4" customWidth="1"/>
    <col min="33" max="33" width="15.42578125" style="4" customWidth="1"/>
    <col min="34" max="34" width="11.42578125" style="4" customWidth="1"/>
    <col min="35" max="35" width="10" style="4" customWidth="1"/>
    <col min="36" max="37" width="14" style="4" customWidth="1"/>
    <col min="38" max="54" width="8.85546875" style="4"/>
    <col min="55" max="16384" width="8.85546875" style="5"/>
  </cols>
  <sheetData>
    <row r="2" spans="1:54" x14ac:dyDescent="0.25">
      <c r="B2" s="81" t="s">
        <v>133</v>
      </c>
    </row>
    <row r="3" spans="1:54" x14ac:dyDescent="0.25">
      <c r="B3" s="81" t="s">
        <v>134</v>
      </c>
    </row>
    <row r="4" spans="1:54" ht="15.75" customHeight="1" x14ac:dyDescent="0.25">
      <c r="B4" s="152" t="s">
        <v>166</v>
      </c>
    </row>
    <row r="5" spans="1:54" x14ac:dyDescent="0.25"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54" s="7" customFormat="1" ht="46.5" customHeight="1" x14ac:dyDescent="0.25">
      <c r="A6" s="6"/>
      <c r="B6" s="137" t="s">
        <v>46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U7" s="6"/>
      <c r="V7" s="6"/>
      <c r="W7" s="6"/>
      <c r="X7" s="6"/>
      <c r="Y7" s="6"/>
      <c r="Z7" s="6"/>
    </row>
    <row r="8" spans="1:54" ht="15.75" x14ac:dyDescent="0.25">
      <c r="B8" s="8"/>
      <c r="C8" s="9" t="s">
        <v>48</v>
      </c>
      <c r="D8" s="9"/>
      <c r="E8" s="9"/>
      <c r="F8" s="10"/>
      <c r="G8" s="10"/>
      <c r="H8" s="11"/>
      <c r="I8" s="11"/>
      <c r="J8" s="12"/>
      <c r="K8" s="118"/>
      <c r="L8" s="118"/>
      <c r="M8" s="118"/>
      <c r="N8" s="118"/>
      <c r="O8" s="11"/>
      <c r="P8" s="8"/>
      <c r="Q8" s="8"/>
      <c r="R8" s="8"/>
      <c r="S8" s="8"/>
      <c r="V8" s="76"/>
      <c r="W8" s="76"/>
      <c r="X8" s="76"/>
      <c r="Y8" s="76"/>
      <c r="Z8" s="6"/>
    </row>
    <row r="9" spans="1:54" ht="5.25" customHeight="1" x14ac:dyDescent="0.25">
      <c r="B9" s="8"/>
      <c r="C9" s="9"/>
      <c r="D9" s="9"/>
      <c r="E9" s="9"/>
      <c r="F9" s="10"/>
      <c r="G9" s="10"/>
      <c r="H9" s="11"/>
      <c r="I9" s="11"/>
      <c r="J9" s="12"/>
      <c r="K9" s="13"/>
      <c r="L9" s="13"/>
      <c r="M9" s="13"/>
      <c r="N9" s="13"/>
      <c r="O9" s="11"/>
      <c r="P9" s="8"/>
      <c r="Q9" s="8"/>
      <c r="R9" s="8"/>
      <c r="S9" s="8"/>
      <c r="U9" s="6"/>
      <c r="V9" s="6"/>
      <c r="W9" s="6"/>
      <c r="X9" s="6"/>
      <c r="Y9" s="6"/>
      <c r="Z9" s="6"/>
    </row>
    <row r="10" spans="1:54" x14ac:dyDescent="0.25">
      <c r="B10" s="8"/>
      <c r="C10" s="10" t="s">
        <v>47</v>
      </c>
      <c r="D10" s="10"/>
      <c r="E10" s="10"/>
      <c r="F10" s="8"/>
      <c r="G10" s="63"/>
      <c r="H10" s="14" t="s">
        <v>6</v>
      </c>
      <c r="I10" s="10"/>
      <c r="J10" s="15"/>
      <c r="K10" s="15"/>
      <c r="L10" s="15"/>
      <c r="M10" s="8"/>
      <c r="N10" s="11"/>
      <c r="O10" s="8"/>
      <c r="P10" s="8"/>
      <c r="Q10" s="8"/>
      <c r="R10" s="8"/>
      <c r="S10" s="8"/>
    </row>
    <row r="11" spans="1:54" x14ac:dyDescent="0.25">
      <c r="B11" s="8"/>
      <c r="C11" s="10" t="s">
        <v>156</v>
      </c>
      <c r="D11" s="10"/>
      <c r="E11" s="10"/>
      <c r="F11" s="8"/>
      <c r="G11" s="63"/>
      <c r="H11" s="14" t="s">
        <v>6</v>
      </c>
      <c r="I11" s="10" t="s">
        <v>55</v>
      </c>
      <c r="J11" s="15"/>
      <c r="K11" s="15"/>
      <c r="L11" s="15"/>
      <c r="M11" s="8"/>
      <c r="N11" s="11"/>
      <c r="O11" s="8"/>
      <c r="P11" s="8"/>
      <c r="Q11" s="8"/>
      <c r="R11" s="8"/>
      <c r="S11" s="8"/>
    </row>
    <row r="12" spans="1:54" x14ac:dyDescent="0.25">
      <c r="B12" s="8"/>
      <c r="C12" s="10"/>
      <c r="D12" s="10"/>
      <c r="E12" s="10"/>
      <c r="F12" s="10"/>
      <c r="G12" s="18"/>
      <c r="H12" s="14"/>
      <c r="I12" s="10"/>
      <c r="J12" s="15"/>
      <c r="K12" s="15"/>
      <c r="L12" s="15"/>
      <c r="M12" s="15"/>
      <c r="N12" s="8"/>
      <c r="O12" s="11"/>
      <c r="P12" s="8"/>
      <c r="Q12" s="8"/>
      <c r="R12" s="8"/>
      <c r="S12" s="8"/>
    </row>
    <row r="13" spans="1:54" ht="15.75" x14ac:dyDescent="0.25">
      <c r="B13" s="8"/>
      <c r="C13" s="10" t="s">
        <v>109</v>
      </c>
      <c r="D13" s="10"/>
      <c r="E13" s="10"/>
      <c r="F13" s="10"/>
      <c r="G13" s="63"/>
      <c r="H13" s="14" t="s">
        <v>93</v>
      </c>
      <c r="I13" s="58" t="s">
        <v>91</v>
      </c>
      <c r="J13" s="59"/>
      <c r="K13" s="59"/>
      <c r="L13" s="59"/>
      <c r="M13" s="59"/>
      <c r="N13" s="60"/>
      <c r="O13" s="61"/>
      <c r="P13" s="8"/>
      <c r="Q13" s="8"/>
      <c r="R13" s="8"/>
      <c r="S13" s="8"/>
    </row>
    <row r="14" spans="1:54" x14ac:dyDescent="0.25">
      <c r="B14" s="8"/>
      <c r="C14" s="10" t="s">
        <v>89</v>
      </c>
      <c r="D14" s="10"/>
      <c r="E14" s="10"/>
      <c r="F14" s="10"/>
      <c r="G14" s="63"/>
      <c r="H14" s="14"/>
      <c r="I14" s="58" t="s">
        <v>90</v>
      </c>
      <c r="J14" s="59"/>
      <c r="K14" s="59"/>
      <c r="L14" s="59"/>
      <c r="M14" s="59"/>
      <c r="N14" s="60"/>
      <c r="O14" s="61"/>
      <c r="P14" s="8"/>
      <c r="Q14" s="8"/>
      <c r="R14" s="8"/>
      <c r="S14" s="8"/>
    </row>
    <row r="15" spans="1:54" ht="15.75" x14ac:dyDescent="0.25">
      <c r="B15" s="8"/>
      <c r="C15" s="10" t="s">
        <v>87</v>
      </c>
      <c r="D15" s="10"/>
      <c r="E15" s="10"/>
      <c r="F15" s="10"/>
      <c r="G15" s="79" t="str">
        <f>IF(G14="","",IF(G14="Frit eksponeret",G13*(100+F129)/100,IF(G14="Moderat læ",G13*(100+F130)/100,IF(G14="Ideelt læ",G13*(100+F131)/100))))</f>
        <v/>
      </c>
      <c r="H15" s="14" t="s">
        <v>93</v>
      </c>
      <c r="I15" s="14" t="s">
        <v>135</v>
      </c>
      <c r="J15" s="10"/>
      <c r="K15" s="15"/>
      <c r="L15" s="15"/>
      <c r="M15" s="15"/>
      <c r="N15" s="8"/>
      <c r="O15" s="11"/>
      <c r="P15" s="8"/>
      <c r="Q15" s="8"/>
      <c r="R15" s="8"/>
      <c r="S15" s="8"/>
    </row>
    <row r="16" spans="1:54" ht="15.75" x14ac:dyDescent="0.25">
      <c r="B16" s="8"/>
      <c r="C16" s="10" t="s">
        <v>88</v>
      </c>
      <c r="D16" s="10"/>
      <c r="E16" s="10"/>
      <c r="F16" s="10"/>
      <c r="G16" s="63"/>
      <c r="H16" s="14" t="s">
        <v>93</v>
      </c>
      <c r="I16" s="58" t="s">
        <v>92</v>
      </c>
      <c r="J16" s="10"/>
      <c r="K16" s="15"/>
      <c r="L16" s="15"/>
      <c r="M16" s="15"/>
      <c r="N16" s="8"/>
      <c r="O16" s="11"/>
      <c r="P16" s="8"/>
      <c r="Q16" s="8"/>
      <c r="R16" s="8"/>
      <c r="S16" s="8"/>
    </row>
    <row r="17" spans="2:37" ht="15.75" x14ac:dyDescent="0.25">
      <c r="B17" s="8"/>
      <c r="C17" s="10" t="s">
        <v>56</v>
      </c>
      <c r="D17" s="10"/>
      <c r="E17" s="10"/>
      <c r="F17" s="10"/>
      <c r="G17" s="79" t="str">
        <f>IF(G16="","",nedbor-G16)</f>
        <v/>
      </c>
      <c r="H17" s="14" t="s">
        <v>93</v>
      </c>
      <c r="I17" s="10" t="s">
        <v>136</v>
      </c>
      <c r="J17" s="15"/>
      <c r="K17" s="15"/>
      <c r="L17" s="15"/>
      <c r="M17" s="15"/>
      <c r="N17" s="8"/>
      <c r="O17" s="11"/>
      <c r="P17" s="8"/>
      <c r="Q17" s="8"/>
      <c r="R17" s="8"/>
      <c r="S17" s="8"/>
    </row>
    <row r="18" spans="2:37" ht="24.75" customHeight="1" x14ac:dyDescent="0.25">
      <c r="B18" s="8"/>
      <c r="C18" s="16"/>
      <c r="D18" s="16"/>
      <c r="E18" s="16"/>
      <c r="F18" s="16"/>
      <c r="G18" s="17"/>
      <c r="H18" s="16"/>
      <c r="I18" s="16"/>
      <c r="J18" s="13"/>
      <c r="K18" s="13"/>
      <c r="L18" s="13"/>
      <c r="M18" s="13"/>
      <c r="N18" s="8"/>
      <c r="O18" s="11"/>
      <c r="P18" s="8"/>
      <c r="Q18" s="8"/>
      <c r="R18" s="8"/>
      <c r="S18" s="8"/>
    </row>
    <row r="19" spans="2:37" ht="18.75" customHeight="1" x14ac:dyDescent="0.25">
      <c r="B19" s="8"/>
      <c r="C19" s="9" t="s">
        <v>85</v>
      </c>
      <c r="D19" s="9"/>
      <c r="E19" s="9"/>
      <c r="F19" s="11"/>
      <c r="G19" s="17"/>
      <c r="H19" s="11"/>
      <c r="I19" s="12"/>
      <c r="J19" s="13"/>
      <c r="K19" s="13"/>
      <c r="L19" s="13"/>
      <c r="M19" s="90"/>
      <c r="N19" s="8" t="s">
        <v>84</v>
      </c>
      <c r="O19" s="11"/>
      <c r="P19" s="8"/>
      <c r="Q19" s="8"/>
      <c r="R19" s="8"/>
      <c r="S19" s="8"/>
    </row>
    <row r="20" spans="2:37" x14ac:dyDescent="0.25">
      <c r="B20" s="8"/>
      <c r="C20" s="10" t="s">
        <v>49</v>
      </c>
      <c r="D20" s="10"/>
      <c r="E20" s="10"/>
      <c r="F20" s="10"/>
      <c r="G20" s="18"/>
      <c r="H20" s="10"/>
      <c r="I20" s="19"/>
      <c r="J20" s="15"/>
      <c r="K20" s="15"/>
      <c r="L20" s="90"/>
      <c r="M20" s="15"/>
      <c r="N20" s="10"/>
      <c r="O20" s="10"/>
      <c r="P20" s="10"/>
      <c r="Q20" s="10"/>
      <c r="R20" s="8"/>
      <c r="S20" s="8"/>
    </row>
    <row r="21" spans="2:37" x14ac:dyDescent="0.25">
      <c r="B21" s="8"/>
      <c r="C21" s="10"/>
      <c r="D21" s="10"/>
      <c r="E21" s="10"/>
      <c r="F21" s="10"/>
      <c r="G21" s="18"/>
      <c r="H21" s="10"/>
      <c r="I21" s="19"/>
      <c r="J21" s="15"/>
      <c r="K21" s="15"/>
      <c r="L21" s="15"/>
      <c r="M21" s="15"/>
      <c r="N21" s="8"/>
      <c r="O21" s="10"/>
      <c r="P21" s="10"/>
      <c r="Q21" s="10"/>
      <c r="R21" s="8"/>
      <c r="S21" s="8"/>
    </row>
    <row r="22" spans="2:37" ht="15.75" x14ac:dyDescent="0.25">
      <c r="B22" s="8"/>
      <c r="C22" s="10" t="s">
        <v>51</v>
      </c>
      <c r="D22" s="10"/>
      <c r="E22" s="10"/>
      <c r="F22" s="8"/>
      <c r="G22" s="63"/>
      <c r="H22" s="10" t="s">
        <v>50</v>
      </c>
      <c r="I22" s="10" t="s">
        <v>108</v>
      </c>
      <c r="J22" s="15"/>
      <c r="K22" s="15"/>
      <c r="L22" s="15"/>
      <c r="M22" s="15"/>
      <c r="N22" s="8"/>
      <c r="O22" s="10"/>
      <c r="P22" s="9"/>
      <c r="Q22" s="9"/>
      <c r="R22" s="8"/>
      <c r="S22" s="8"/>
    </row>
    <row r="23" spans="2:37" ht="15.75" x14ac:dyDescent="0.25">
      <c r="B23" s="8"/>
      <c r="C23" s="10" t="s">
        <v>52</v>
      </c>
      <c r="D23" s="10"/>
      <c r="E23" s="10"/>
      <c r="F23" s="8"/>
      <c r="G23" s="63"/>
      <c r="H23" s="10" t="s">
        <v>50</v>
      </c>
      <c r="I23" s="10" t="s">
        <v>108</v>
      </c>
      <c r="J23" s="15"/>
      <c r="K23" s="15"/>
      <c r="L23" s="15"/>
      <c r="M23" s="15"/>
      <c r="N23" s="8"/>
      <c r="O23" s="10"/>
      <c r="P23" s="9"/>
      <c r="Q23" s="9"/>
      <c r="R23" s="8"/>
      <c r="S23" s="8"/>
    </row>
    <row r="24" spans="2:37" ht="15.75" x14ac:dyDescent="0.25">
      <c r="B24" s="8"/>
      <c r="C24" s="10" t="s">
        <v>53</v>
      </c>
      <c r="D24" s="10"/>
      <c r="E24" s="10"/>
      <c r="F24" s="8"/>
      <c r="G24" s="63"/>
      <c r="H24" s="10"/>
      <c r="I24" s="10" t="s">
        <v>83</v>
      </c>
      <c r="J24" s="15"/>
      <c r="K24" s="15"/>
      <c r="L24" s="15"/>
      <c r="M24" s="15"/>
      <c r="N24" s="8"/>
      <c r="O24" s="10"/>
      <c r="P24" s="9"/>
      <c r="Q24" s="9"/>
      <c r="R24" s="8"/>
      <c r="S24" s="8"/>
    </row>
    <row r="25" spans="2:37" ht="19.5" customHeight="1" x14ac:dyDescent="0.25">
      <c r="B25" s="8"/>
      <c r="C25" s="10" t="s">
        <v>54</v>
      </c>
      <c r="D25" s="10"/>
      <c r="E25" s="10"/>
      <c r="F25" s="8"/>
      <c r="G25" s="22" t="str">
        <f>IF(G24="","",IF(georegion=1,1.3152-0.862-0.0001957*Årlig_nedbør-0.005439*js-0.007967*j_9+0.01091*js,IF(georegion=2,1.3152-0.862-0.0001957*Årlig_nedbør-0.005439*js-0.007967*j_9+0.01091*js,IF(georegion=3,1.3152-0.1133-0.0001957*Årlig_nedbør-0.005439*js-0.007967*j_9+0.002806*js-0.02147*j_9,IF(georegion=4,1.3152-0.8509-0.0001957*Årlig_nedbør-0.005439*js-0.007967*j_9+0.01079*js,IF(georegion=5,1.3152-0.8509-0.0001957*Årlig_nedbør-0.005439*js-0.007967*j_9+0.01079*js,IF(georegion=6,1.3152-0.6359-0.0001957*Årlig_nedbør-0.005439*js-0.007967*j_9+0.007747*js+0.01963*j_9,IF(georegion=7,1.3152-0.6581-0.0001957*Årlig_nedbør-0.005439*js-0.007967*j_9+0.00715*js,IF(georegion=8,1.3152-0-0.0001957*Årlig_nedbør-0.005439*js-0.007967*j_9,IF(georegion=9,1.3152-0-0.0001957*Årlig_nedbør-0.005439*js-0.007967*j_9,999999))))))))))</f>
        <v/>
      </c>
      <c r="H25" s="69"/>
      <c r="I25" s="10" t="s">
        <v>137</v>
      </c>
      <c r="J25" s="15"/>
      <c r="K25" s="15"/>
      <c r="L25" s="15"/>
      <c r="M25" s="15"/>
      <c r="N25" s="8"/>
      <c r="O25" s="10"/>
      <c r="P25" s="9"/>
      <c r="Q25" s="9"/>
      <c r="R25" s="8"/>
      <c r="S25" s="8"/>
      <c r="U25" s="20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2:37" ht="20.25" customHeight="1" x14ac:dyDescent="0.25">
      <c r="B26" s="8"/>
      <c r="C26" s="11"/>
      <c r="D26" s="11"/>
      <c r="E26" s="11"/>
      <c r="F26" s="8"/>
      <c r="G26" s="11"/>
      <c r="H26" s="11"/>
      <c r="I26" s="11"/>
      <c r="J26" s="11"/>
      <c r="K26" s="12"/>
      <c r="L26" s="25"/>
      <c r="M26" s="10"/>
      <c r="N26" s="8"/>
      <c r="O26" s="10"/>
      <c r="P26" s="9"/>
      <c r="Q26" s="9"/>
      <c r="R26" s="8"/>
      <c r="S26" s="8"/>
      <c r="U26" s="120" t="s">
        <v>86</v>
      </c>
      <c r="V26" s="120"/>
      <c r="W26" s="120"/>
      <c r="X26" s="120"/>
      <c r="Y26" s="120"/>
      <c r="Z26" s="120"/>
      <c r="AA26" s="120"/>
      <c r="AB26" s="120"/>
      <c r="AC26" s="120"/>
      <c r="AD26" s="120"/>
      <c r="AE26" s="21"/>
      <c r="AF26" s="21"/>
      <c r="AG26" s="21"/>
      <c r="AH26" s="21"/>
      <c r="AI26" s="21"/>
      <c r="AJ26" s="21"/>
      <c r="AK26" s="21"/>
    </row>
    <row r="27" spans="2:37" ht="18" customHeight="1" x14ac:dyDescent="0.25">
      <c r="B27" s="8"/>
      <c r="C27" s="10" t="s">
        <v>110</v>
      </c>
      <c r="D27" s="10"/>
      <c r="E27" s="10"/>
      <c r="F27" s="8"/>
      <c r="G27" s="23" t="str">
        <f>IF(G25="","",(1-BFI)*(netto_nedboer/1000)*(oplands_areal*10000))</f>
        <v/>
      </c>
      <c r="H27" s="10" t="s">
        <v>111</v>
      </c>
      <c r="I27" s="10" t="s">
        <v>112</v>
      </c>
      <c r="J27" s="10"/>
      <c r="K27" s="10"/>
      <c r="L27" s="10"/>
      <c r="M27" s="25"/>
      <c r="N27" s="8"/>
      <c r="O27" s="10"/>
      <c r="P27" s="26"/>
      <c r="Q27" s="26"/>
      <c r="R27" s="8"/>
      <c r="S27" s="8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24"/>
      <c r="AF27" s="24"/>
      <c r="AG27" s="24"/>
      <c r="AH27" s="24"/>
      <c r="AI27" s="24"/>
      <c r="AJ27" s="24"/>
      <c r="AK27" s="24"/>
    </row>
    <row r="28" spans="2:37" ht="20.25" customHeight="1" x14ac:dyDescent="0.25">
      <c r="B28" s="8"/>
      <c r="C28" s="11"/>
      <c r="D28" s="11"/>
      <c r="E28" s="11"/>
      <c r="F28" s="8"/>
      <c r="G28" s="11"/>
      <c r="H28" s="11"/>
      <c r="I28" s="11"/>
      <c r="J28" s="12"/>
      <c r="K28" s="25"/>
      <c r="L28" s="25"/>
      <c r="M28" s="25"/>
      <c r="N28" s="8"/>
      <c r="O28" s="11"/>
      <c r="P28" s="26"/>
      <c r="Q28" s="26"/>
      <c r="R28" s="8"/>
      <c r="S28" s="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7" ht="15.75" customHeight="1" x14ac:dyDescent="0.25">
      <c r="B29" s="8"/>
      <c r="C29" s="9" t="s">
        <v>138</v>
      </c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70"/>
      <c r="O29" s="11"/>
      <c r="P29" s="8"/>
      <c r="Q29" s="8"/>
      <c r="R29" s="8"/>
      <c r="S29" s="8"/>
      <c r="U29" s="27"/>
      <c r="V29" s="28" t="s">
        <v>157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2:37" ht="15" customHeight="1" x14ac:dyDescent="0.25">
      <c r="B30" s="8"/>
      <c r="C30" s="10" t="s">
        <v>70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70"/>
      <c r="O30" s="11"/>
      <c r="P30" s="8"/>
      <c r="Q30" s="8"/>
      <c r="R30" s="8"/>
      <c r="S30" s="8"/>
      <c r="U30" s="27"/>
      <c r="V30" s="29" t="s">
        <v>2</v>
      </c>
      <c r="W30" s="2"/>
      <c r="X30" s="2"/>
      <c r="Y30" s="2"/>
      <c r="Z30" s="2"/>
      <c r="AA30" s="2"/>
      <c r="AB30" s="2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7.5" customHeight="1" x14ac:dyDescent="0.25"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0"/>
      <c r="O31" s="11"/>
      <c r="P31" s="8"/>
      <c r="Q31" s="8"/>
      <c r="R31" s="8"/>
      <c r="S31" s="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2:37" ht="17.25" customHeight="1" x14ac:dyDescent="0.25">
      <c r="B32" s="8"/>
      <c r="C32" s="16"/>
      <c r="D32" s="16"/>
      <c r="E32" s="16"/>
      <c r="F32" s="11"/>
      <c r="G32" s="141"/>
      <c r="H32" s="141"/>
      <c r="I32" s="141"/>
      <c r="J32" s="11"/>
      <c r="K32" s="11"/>
      <c r="L32" s="129" t="s">
        <v>114</v>
      </c>
      <c r="M32" s="129"/>
      <c r="N32" s="129"/>
      <c r="O32" s="16"/>
      <c r="P32" s="8"/>
      <c r="Q32" s="8"/>
      <c r="R32" s="8"/>
      <c r="S32" s="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2:37" ht="43.5" customHeight="1" thickBot="1" x14ac:dyDescent="0.3">
      <c r="B33" s="8"/>
      <c r="C33" s="30" t="s">
        <v>57</v>
      </c>
      <c r="D33" s="30" t="s">
        <v>128</v>
      </c>
      <c r="E33" s="119" t="s">
        <v>62</v>
      </c>
      <c r="F33" s="119"/>
      <c r="G33" s="119" t="s">
        <v>115</v>
      </c>
      <c r="H33" s="119"/>
      <c r="I33" s="119"/>
      <c r="J33" s="30" t="s">
        <v>141</v>
      </c>
      <c r="K33" s="30" t="s">
        <v>116</v>
      </c>
      <c r="L33" s="119" t="s">
        <v>63</v>
      </c>
      <c r="M33" s="119"/>
      <c r="N33" s="30" t="s">
        <v>69</v>
      </c>
      <c r="O33" s="30" t="s">
        <v>139</v>
      </c>
      <c r="P33" s="30" t="s">
        <v>65</v>
      </c>
      <c r="Q33" s="82" t="s">
        <v>154</v>
      </c>
      <c r="R33" s="30" t="s">
        <v>142</v>
      </c>
      <c r="S33" s="8"/>
      <c r="U33" s="27"/>
      <c r="V33" s="31" t="s">
        <v>57</v>
      </c>
      <c r="W33" s="124" t="s">
        <v>105</v>
      </c>
      <c r="X33" s="124"/>
      <c r="Y33" s="124"/>
      <c r="Z33" s="31" t="s">
        <v>0</v>
      </c>
      <c r="AA33" s="124" t="s">
        <v>1</v>
      </c>
      <c r="AB33" s="124"/>
      <c r="AC33" s="31" t="s">
        <v>143</v>
      </c>
      <c r="AD33" s="31" t="s">
        <v>113</v>
      </c>
      <c r="AE33" s="31" t="s">
        <v>22</v>
      </c>
      <c r="AF33" s="31" t="s">
        <v>144</v>
      </c>
      <c r="AG33" s="31" t="s">
        <v>158</v>
      </c>
      <c r="AH33" s="31" t="s">
        <v>23</v>
      </c>
      <c r="AI33" s="31" t="s">
        <v>24</v>
      </c>
      <c r="AJ33" s="91" t="s">
        <v>159</v>
      </c>
      <c r="AK33" s="27"/>
    </row>
    <row r="34" spans="2:37" ht="18" customHeight="1" thickBot="1" x14ac:dyDescent="0.3">
      <c r="B34" s="8"/>
      <c r="C34" s="64"/>
      <c r="D34" s="72"/>
      <c r="E34" s="144"/>
      <c r="F34" s="145"/>
      <c r="G34" s="144"/>
      <c r="H34" s="146"/>
      <c r="I34" s="145"/>
      <c r="J34" s="32" t="str">
        <f>IF(E34="","",IF(E34="Permanent vådt",Q_OF/(areal*10000)*1000,IF(AND(E34="Delvist vådt",G34="&lt;50"),Q_OF/(areal*10000)*1000,IF(AND(E34="Delvist vådt",G34="&gt;50"),(Q_OF/(areal*10000))*1000*4/12,IF(E34="Tørt",0,"")))))</f>
        <v/>
      </c>
      <c r="K34" s="72"/>
      <c r="L34" s="147"/>
      <c r="M34" s="148"/>
      <c r="N34" s="65"/>
      <c r="O34" s="66"/>
      <c r="P34" s="89" t="str">
        <f>IF(O34="","",IF(O34="Intensiv (&gt;25%)",1,IF(O34="Moderat (&lt;25%)",0.5,0)))</f>
        <v/>
      </c>
      <c r="Q34" s="88" t="str">
        <f>IF(O34="","",IF(N34+P34&gt;1,1,N34+P34))</f>
        <v/>
      </c>
      <c r="R34" s="104" t="str">
        <f>IF(P34="","",IF(J34=0,0,IF((J34*Q34)&gt;netto_nedboer,J34*Q34,netto_nedboer)))</f>
        <v/>
      </c>
      <c r="S34" s="11"/>
      <c r="U34" s="27"/>
      <c r="V34" s="33" t="str">
        <f>IF(C34="","",C34)</f>
        <v/>
      </c>
      <c r="W34" s="132"/>
      <c r="X34" s="133"/>
      <c r="Y34" s="134"/>
      <c r="Z34" s="73"/>
      <c r="AA34" s="135"/>
      <c r="AB34" s="136"/>
      <c r="AC34" s="71" t="str">
        <f>IF(AA34="","",W34/((PI()*AA34^2*Z34)))</f>
        <v/>
      </c>
      <c r="AD34" s="74"/>
      <c r="AE34" s="74"/>
      <c r="AF34" s="85" t="str">
        <f t="shared" ref="AF34:AF36" si="0">IF(AE34="","",((AE34/1000)/Fe)/((AD34/1000)/P))</f>
        <v/>
      </c>
      <c r="AG34" s="114" t="str">
        <f>IF(AF34="","",(0.2384*(AF34^-0.878)))</f>
        <v/>
      </c>
      <c r="AH34" s="85" t="str">
        <f>IF(AG34="","",AG34*R34*D34)</f>
        <v/>
      </c>
      <c r="AI34" s="94" t="str">
        <f>IF(AD34="","",AC34*10000*0.3*AD34/1000^2)</f>
        <v/>
      </c>
      <c r="AJ34" s="101" t="str">
        <f>IF(OR(AI34="",AH34=0),"",AI34*D34)</f>
        <v/>
      </c>
      <c r="AK34" s="27"/>
    </row>
    <row r="35" spans="2:37" ht="18" customHeight="1" thickBot="1" x14ac:dyDescent="0.3">
      <c r="B35" s="8"/>
      <c r="C35" s="64"/>
      <c r="D35" s="72"/>
      <c r="E35" s="149"/>
      <c r="F35" s="150"/>
      <c r="G35" s="149"/>
      <c r="H35" s="151"/>
      <c r="I35" s="150"/>
      <c r="J35" s="32" t="str">
        <f>IF(E35="","",IF(E35="Permanent vådt",Q_OF/(areal*10000)*1000,IF(AND(E35="Delvist vådt",G35="&lt;50"),Q_OF/(areal*10000)*1000,IF(AND(E35="Delvist vådt",G35="&gt;50"),(Q_OF/(areal*10000))*1000*4/12,IF(E35="Tørt",0,"")))))</f>
        <v/>
      </c>
      <c r="K35" s="72"/>
      <c r="L35" s="147"/>
      <c r="M35" s="148"/>
      <c r="N35" s="65"/>
      <c r="O35" s="66"/>
      <c r="P35" s="89" t="str">
        <f>IF(O35="","",IF(O35="Intensiv (&gt;25%)",1,IF(O35="Moderat (&lt;25%)",0.5,0)))</f>
        <v/>
      </c>
      <c r="Q35" s="88" t="str">
        <f>IF(O35="","",IF(N35+P35&gt;1,1,N35+P35))</f>
        <v/>
      </c>
      <c r="R35" s="105" t="str">
        <f>IF(P35="","",IF(J35=0,0,IF((J35*Q35)&gt;netto_nedboer,J35*Q35,netto_nedboer)))</f>
        <v/>
      </c>
      <c r="S35" s="11"/>
      <c r="U35" s="27"/>
      <c r="V35" s="33" t="str">
        <f>IF(C35="","",C35)</f>
        <v/>
      </c>
      <c r="W35" s="132"/>
      <c r="X35" s="133"/>
      <c r="Y35" s="134"/>
      <c r="Z35" s="73"/>
      <c r="AA35" s="135"/>
      <c r="AB35" s="136"/>
      <c r="AC35" s="71" t="str">
        <f>IF(AA35="","",W35/((PI()*AA35^2*Z35)))</f>
        <v/>
      </c>
      <c r="AD35" s="74"/>
      <c r="AE35" s="74"/>
      <c r="AF35" s="85" t="str">
        <f t="shared" si="0"/>
        <v/>
      </c>
      <c r="AG35" s="114" t="str">
        <f>IF(AF35="","",(0.2384*(AF35^-0.878)))</f>
        <v/>
      </c>
      <c r="AH35" s="85" t="str">
        <f>IF(AG35="","",AG35*R35*D35)</f>
        <v/>
      </c>
      <c r="AI35" s="95" t="str">
        <f>IF(AD35="","",AC35*10000*0.3*AD35/1000^2)</f>
        <v/>
      </c>
      <c r="AJ35" s="102" t="str">
        <f t="shared" ref="AJ35:AJ37" si="1">IF(OR(AI35="",AH35=0),"",AI35*D35)</f>
        <v/>
      </c>
      <c r="AK35" s="27"/>
    </row>
    <row r="36" spans="2:37" ht="18" customHeight="1" thickBot="1" x14ac:dyDescent="0.3">
      <c r="B36" s="8"/>
      <c r="C36" s="64"/>
      <c r="D36" s="72"/>
      <c r="E36" s="149"/>
      <c r="F36" s="150"/>
      <c r="G36" s="149"/>
      <c r="H36" s="151"/>
      <c r="I36" s="150"/>
      <c r="J36" s="32" t="str">
        <f>IF(E36="","",IF(E36="Permanent vådt",Q_OF/(areal*10000)*1000,IF(AND(E36="Delvist vådt",G36="&lt;50"),Q_OF/(areal*10000)*1000,IF(AND(E36="Delvist vådt",G36="&gt;50"),(Q_OF/(areal*10000))*1000*4/12,IF(E36="Tørt",0,"")))))</f>
        <v/>
      </c>
      <c r="K36" s="72"/>
      <c r="L36" s="147"/>
      <c r="M36" s="148"/>
      <c r="N36" s="65"/>
      <c r="O36" s="66"/>
      <c r="P36" s="89" t="str">
        <f>IF(O36="","",IF(O36="Intensiv (&gt;25%)",1,IF(O36="Moderat (&lt;25%)",0.5,0)))</f>
        <v/>
      </c>
      <c r="Q36" s="88" t="str">
        <f>IF(O36="","",IF(N36+P36&gt;1,1,N36+P36))</f>
        <v/>
      </c>
      <c r="R36" s="105" t="str">
        <f>IF(P36="","",IF(J36=0,0,IF((J36*Q36)&gt;netto_nedboer,J36*Q36,netto_nedboer)))</f>
        <v/>
      </c>
      <c r="S36" s="11"/>
      <c r="U36" s="27"/>
      <c r="V36" s="33" t="str">
        <f>IF(C36="","",C36)</f>
        <v/>
      </c>
      <c r="W36" s="132"/>
      <c r="X36" s="133"/>
      <c r="Y36" s="134"/>
      <c r="Z36" s="73"/>
      <c r="AA36" s="135"/>
      <c r="AB36" s="136"/>
      <c r="AC36" s="71" t="str">
        <f>IF(AA36="","",W36/((PI()*AA36^2*Z36)))</f>
        <v/>
      </c>
      <c r="AD36" s="74"/>
      <c r="AE36" s="74"/>
      <c r="AF36" s="85" t="str">
        <f t="shared" si="0"/>
        <v/>
      </c>
      <c r="AG36" s="114" t="str">
        <f>IF(AF36="","",(0.2384*(AF36^-0.878)))</f>
        <v/>
      </c>
      <c r="AH36" s="85" t="str">
        <f>IF(AG36="","",AG36*R36*D36)</f>
        <v/>
      </c>
      <c r="AI36" s="95" t="str">
        <f>IF(AD36="","",AC36*10000*0.3*AD36/1000^2)</f>
        <v/>
      </c>
      <c r="AJ36" s="102" t="str">
        <f t="shared" si="1"/>
        <v/>
      </c>
      <c r="AK36" s="27"/>
    </row>
    <row r="37" spans="2:37" ht="18" customHeight="1" thickBot="1" x14ac:dyDescent="0.3">
      <c r="B37" s="8"/>
      <c r="C37" s="106"/>
      <c r="D37" s="107"/>
      <c r="E37" s="138"/>
      <c r="F37" s="139"/>
      <c r="G37" s="138"/>
      <c r="H37" s="140"/>
      <c r="I37" s="139"/>
      <c r="J37" s="108" t="str">
        <f>IF(E37="","",IF(E37="Permanent vådt",Q_OF/(areal*10000)*1000,IF(AND(E37="Delvist vådt",G37="&lt;50"),Q_OF/(areal*10000)*1000,IF(AND(E37="Delvist vådt",G37="&gt;50"),(Q_OF/(areal*10000))*1000*4/12,IF(E37="Tørt",0,"")))))</f>
        <v/>
      </c>
      <c r="K37" s="107"/>
      <c r="L37" s="142"/>
      <c r="M37" s="143"/>
      <c r="N37" s="109"/>
      <c r="O37" s="110"/>
      <c r="P37" s="111" t="str">
        <f>IF(O37="","",IF(O37="Intensiv (&gt;25%)",1,IF(O37="Moderat (&lt;25%)",0.5,0)))</f>
        <v/>
      </c>
      <c r="Q37" s="112" t="str">
        <f>IF(O37="","",IF(N37+P37&gt;1,1,N37+P37))</f>
        <v/>
      </c>
      <c r="R37" s="113" t="str">
        <f>IF(P37="","",IF(J37=0,0,IF((J37*Q37)&gt;netto_nedboer,J37*Q37,netto_nedboer)))</f>
        <v/>
      </c>
      <c r="S37" s="11"/>
      <c r="U37" s="27"/>
      <c r="V37" s="33" t="str">
        <f>IF(C37="","",C37)</f>
        <v/>
      </c>
      <c r="W37" s="121"/>
      <c r="X37" s="122"/>
      <c r="Y37" s="123"/>
      <c r="Z37" s="96"/>
      <c r="AA37" s="125"/>
      <c r="AB37" s="126"/>
      <c r="AC37" s="97" t="str">
        <f>IF(AA37="","",W37/((PI()*AA37^2*Z37)))</f>
        <v/>
      </c>
      <c r="AD37" s="98"/>
      <c r="AE37" s="98"/>
      <c r="AF37" s="99" t="str">
        <f t="shared" ref="AF37" si="2">IF(AE37="","",((AE37/1000)/Fe)/((AD37/1000)/P))</f>
        <v/>
      </c>
      <c r="AG37" s="115" t="str">
        <f>IF(AF37="","",(0.2384*(AF37^-0.878)))</f>
        <v/>
      </c>
      <c r="AH37" s="99" t="str">
        <f>IF(AG37="","",AG37*R37*D37)</f>
        <v/>
      </c>
      <c r="AI37" s="100" t="str">
        <f>IF(AD37="","",AC37*10000*0.3*AD37/1000^2)</f>
        <v/>
      </c>
      <c r="AJ37" s="103" t="str">
        <f t="shared" si="1"/>
        <v/>
      </c>
      <c r="AK37" s="27"/>
    </row>
    <row r="38" spans="2:37" x14ac:dyDescent="0.25">
      <c r="B38" s="8"/>
      <c r="C38" s="12"/>
      <c r="D38" s="12"/>
      <c r="E38" s="12"/>
      <c r="F38" s="25"/>
      <c r="G38" s="35"/>
      <c r="H38" s="35"/>
      <c r="I38" s="36"/>
      <c r="J38" s="8"/>
      <c r="K38" s="11"/>
      <c r="L38" s="11"/>
      <c r="M38" s="11"/>
      <c r="N38" s="11"/>
      <c r="O38" s="11"/>
      <c r="P38" s="11"/>
      <c r="Q38" s="11"/>
      <c r="R38" s="16"/>
      <c r="S38" s="11"/>
      <c r="U38" s="27"/>
      <c r="V38" s="29"/>
      <c r="W38" s="29"/>
      <c r="X38" s="29"/>
      <c r="Y38" s="29"/>
      <c r="Z38" s="39"/>
      <c r="AA38" s="29"/>
      <c r="AB38" s="29"/>
      <c r="AC38" s="29"/>
      <c r="AD38" s="29"/>
      <c r="AE38" s="29"/>
      <c r="AF38" s="29"/>
      <c r="AG38" s="37"/>
      <c r="AH38" s="29" t="s">
        <v>146</v>
      </c>
      <c r="AI38" s="29"/>
      <c r="AJ38" s="29"/>
      <c r="AK38" s="29"/>
    </row>
    <row r="39" spans="2:37" ht="15" customHeight="1" x14ac:dyDescent="0.25">
      <c r="B39" s="8"/>
      <c r="C39" s="128" t="s">
        <v>62</v>
      </c>
      <c r="D39" s="128"/>
      <c r="E39" s="128"/>
      <c r="F39" s="128"/>
      <c r="G39" s="57"/>
      <c r="H39" s="127" t="s">
        <v>140</v>
      </c>
      <c r="I39" s="127"/>
      <c r="J39" s="127"/>
      <c r="K39" s="127"/>
      <c r="L39" s="127"/>
      <c r="M39" s="127"/>
      <c r="N39" s="11"/>
      <c r="O39" s="11"/>
      <c r="P39" s="11"/>
      <c r="Q39" s="11"/>
      <c r="R39" s="16"/>
      <c r="S39" s="11"/>
      <c r="U39" s="27"/>
      <c r="V39" s="38"/>
      <c r="W39" s="38"/>
      <c r="X39" s="38"/>
      <c r="Y39" s="38"/>
      <c r="Z39" s="38"/>
      <c r="AA39" s="38"/>
      <c r="AB39" s="38"/>
      <c r="AC39" s="39"/>
      <c r="AD39" s="38"/>
      <c r="AE39" s="38"/>
      <c r="AF39" s="39"/>
      <c r="AG39" s="40"/>
      <c r="AH39" s="38"/>
      <c r="AI39" s="38"/>
      <c r="AJ39" s="38"/>
      <c r="AK39" s="38"/>
    </row>
    <row r="40" spans="2:37" ht="15.75" x14ac:dyDescent="0.25">
      <c r="B40" s="8"/>
      <c r="C40" s="12"/>
      <c r="D40" s="12"/>
      <c r="E40" s="12"/>
      <c r="F40" s="25"/>
      <c r="G40" s="35"/>
      <c r="H40" s="35"/>
      <c r="I40" s="36"/>
      <c r="J40" s="8"/>
      <c r="K40" s="11"/>
      <c r="L40" s="11"/>
      <c r="M40" s="11"/>
      <c r="N40" s="11"/>
      <c r="O40" s="11"/>
      <c r="P40" s="11"/>
      <c r="Q40" s="11"/>
      <c r="R40" s="16"/>
      <c r="S40" s="11"/>
      <c r="U40" s="1"/>
      <c r="V40" s="38" t="s">
        <v>160</v>
      </c>
      <c r="W40" s="38"/>
      <c r="X40" s="38"/>
      <c r="Y40" s="38"/>
      <c r="Z40" s="41"/>
      <c r="AA40" s="41"/>
      <c r="AB40" s="41"/>
      <c r="AC40" s="41"/>
      <c r="AD40" s="41"/>
      <c r="AE40" s="41"/>
      <c r="AF40" s="41"/>
      <c r="AG40" s="28"/>
      <c r="AH40" s="41"/>
      <c r="AI40" s="41"/>
      <c r="AJ40" s="41"/>
      <c r="AK40" s="41"/>
    </row>
    <row r="41" spans="2:37" ht="15.75" x14ac:dyDescent="0.25">
      <c r="B41" s="8"/>
      <c r="C41" s="12"/>
      <c r="D41" s="12"/>
      <c r="E41" s="12"/>
      <c r="F41" s="25"/>
      <c r="G41" s="35"/>
      <c r="H41" s="35"/>
      <c r="I41" s="36"/>
      <c r="J41" s="8"/>
      <c r="K41" s="11"/>
      <c r="L41" s="11"/>
      <c r="M41" s="11"/>
      <c r="N41" s="11"/>
      <c r="O41" s="11"/>
      <c r="P41" s="11"/>
      <c r="Q41" s="11"/>
      <c r="R41" s="16"/>
      <c r="S41" s="11"/>
      <c r="U41" s="27"/>
      <c r="V41" s="38"/>
      <c r="W41" s="131" t="str">
        <f>IF(AH34="","",SUM(AH34:AH37))</f>
        <v/>
      </c>
      <c r="X41" s="131"/>
      <c r="Y41" s="42" t="s">
        <v>25</v>
      </c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x14ac:dyDescent="0.25">
      <c r="B42" s="8"/>
      <c r="C42" s="12"/>
      <c r="D42" s="12"/>
      <c r="E42" s="12"/>
      <c r="F42" s="25"/>
      <c r="G42" s="35"/>
      <c r="H42" s="35"/>
      <c r="I42" s="36"/>
      <c r="J42" s="8"/>
      <c r="K42" s="11"/>
      <c r="L42" s="11"/>
      <c r="M42" s="11"/>
      <c r="N42" s="11"/>
      <c r="O42" s="11"/>
      <c r="P42" s="11"/>
      <c r="Q42" s="11"/>
      <c r="R42" s="16"/>
      <c r="S42" s="11"/>
      <c r="U42" s="27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ht="15.75" x14ac:dyDescent="0.25">
      <c r="B43" s="8"/>
      <c r="C43" s="12"/>
      <c r="D43" s="12"/>
      <c r="E43" s="12"/>
      <c r="F43" s="25"/>
      <c r="G43" s="35"/>
      <c r="H43" s="35"/>
      <c r="I43" s="36"/>
      <c r="J43" s="8"/>
      <c r="K43" s="11"/>
      <c r="L43" s="11"/>
      <c r="M43" s="11"/>
      <c r="N43" s="11"/>
      <c r="O43" s="11"/>
      <c r="P43" s="11"/>
      <c r="Q43" s="11"/>
      <c r="R43" s="16"/>
      <c r="S43" s="11"/>
      <c r="U43" s="27"/>
      <c r="V43" s="38" t="s">
        <v>161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8"/>
      <c r="AH43" s="38"/>
      <c r="AI43" s="38"/>
      <c r="AJ43" s="38"/>
      <c r="AK43" s="38"/>
    </row>
    <row r="44" spans="2:37" x14ac:dyDescent="0.25">
      <c r="B44" s="8"/>
      <c r="C44" s="12"/>
      <c r="D44" s="12"/>
      <c r="E44" s="12"/>
      <c r="F44" s="25"/>
      <c r="G44" s="35"/>
      <c r="H44" s="35"/>
      <c r="I44" s="36"/>
      <c r="J44" s="8"/>
      <c r="K44" s="11"/>
      <c r="L44" s="11"/>
      <c r="M44" s="11"/>
      <c r="N44" s="11"/>
      <c r="O44" s="11"/>
      <c r="P44" s="11"/>
      <c r="Q44" s="11"/>
      <c r="R44" s="16"/>
      <c r="S44" s="11"/>
      <c r="U44" s="27"/>
      <c r="V44" s="38"/>
      <c r="W44" s="130">
        <f>SUM(AJ34:AJ37)</f>
        <v>0</v>
      </c>
      <c r="X44" s="130"/>
      <c r="Y44" s="43" t="s">
        <v>132</v>
      </c>
      <c r="Z44" s="38"/>
      <c r="AA44" s="27"/>
      <c r="AB44" s="27"/>
      <c r="AC44" s="27"/>
      <c r="AD44" s="27"/>
      <c r="AE44" s="27"/>
      <c r="AF44" s="27"/>
      <c r="AG44" s="38"/>
      <c r="AH44" s="38"/>
      <c r="AI44" s="38"/>
      <c r="AJ44" s="38"/>
      <c r="AK44" s="38"/>
    </row>
    <row r="45" spans="2:37" x14ac:dyDescent="0.25">
      <c r="B45" s="8"/>
      <c r="C45" s="12"/>
      <c r="D45" s="12"/>
      <c r="E45" s="12"/>
      <c r="F45" s="25"/>
      <c r="G45" s="35"/>
      <c r="H45" s="35"/>
      <c r="I45" s="36"/>
      <c r="J45" s="8"/>
      <c r="K45" s="11"/>
      <c r="L45" s="11"/>
      <c r="M45" s="11"/>
      <c r="N45" s="11"/>
      <c r="O45" s="11"/>
      <c r="P45" s="11"/>
      <c r="Q45" s="11"/>
      <c r="R45" s="16"/>
      <c r="S45" s="11"/>
      <c r="U45" s="27"/>
      <c r="V45" s="38"/>
      <c r="W45" s="38"/>
      <c r="X45" s="38"/>
      <c r="Y45" s="38"/>
      <c r="Z45" s="38"/>
      <c r="AA45" s="27"/>
      <c r="AB45" s="27"/>
      <c r="AC45" s="27"/>
      <c r="AD45" s="27"/>
      <c r="AE45" s="27"/>
      <c r="AF45" s="27"/>
      <c r="AG45" s="38"/>
      <c r="AH45" s="38"/>
      <c r="AI45" s="38"/>
      <c r="AJ45" s="38"/>
      <c r="AK45" s="38"/>
    </row>
    <row r="46" spans="2:37" x14ac:dyDescent="0.25">
      <c r="B46" s="8"/>
      <c r="C46" s="12"/>
      <c r="D46" s="12"/>
      <c r="E46" s="12"/>
      <c r="F46" s="25"/>
      <c r="G46" s="35"/>
      <c r="H46" s="35"/>
      <c r="I46" s="36"/>
      <c r="J46" s="8"/>
      <c r="K46" s="11"/>
      <c r="L46" s="11"/>
      <c r="M46" s="11"/>
      <c r="N46" s="11"/>
      <c r="O46" s="11"/>
      <c r="P46" s="11"/>
      <c r="Q46" s="11"/>
      <c r="R46" s="16"/>
      <c r="S46" s="11"/>
      <c r="U46" s="27"/>
      <c r="V46" s="38"/>
      <c r="W46" s="38"/>
      <c r="X46" s="38"/>
      <c r="Y46" s="38"/>
      <c r="Z46" s="38"/>
      <c r="AA46" s="27"/>
      <c r="AB46" s="27"/>
      <c r="AC46" s="27"/>
      <c r="AD46" s="27"/>
      <c r="AE46" s="27"/>
      <c r="AF46" s="27"/>
      <c r="AG46" s="38"/>
      <c r="AH46" s="38"/>
      <c r="AI46" s="38"/>
      <c r="AJ46" s="38"/>
      <c r="AK46" s="38"/>
    </row>
    <row r="47" spans="2:37" x14ac:dyDescent="0.25">
      <c r="B47" s="8"/>
      <c r="C47" s="12"/>
      <c r="D47" s="12"/>
      <c r="E47" s="12"/>
      <c r="F47" s="25"/>
      <c r="G47" s="35"/>
      <c r="H47" s="35"/>
      <c r="I47" s="36"/>
      <c r="J47" s="8"/>
      <c r="K47" s="11"/>
      <c r="L47" s="11"/>
      <c r="M47" s="11"/>
      <c r="N47" s="11"/>
      <c r="O47" s="11"/>
      <c r="P47" s="11"/>
      <c r="Q47" s="11"/>
      <c r="R47" s="16"/>
      <c r="S47" s="11"/>
      <c r="U47" s="27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ht="15.75" x14ac:dyDescent="0.25">
      <c r="B48" s="8"/>
      <c r="C48" s="12"/>
      <c r="D48" s="12"/>
      <c r="E48" s="12"/>
      <c r="F48" s="25"/>
      <c r="G48" s="35"/>
      <c r="H48" s="35"/>
      <c r="I48" s="36"/>
      <c r="J48" s="8"/>
      <c r="K48" s="11"/>
      <c r="L48" s="11"/>
      <c r="M48" s="11"/>
      <c r="N48" s="11"/>
      <c r="O48" s="11"/>
      <c r="P48" s="11"/>
      <c r="Q48" s="11"/>
      <c r="R48" s="16"/>
      <c r="S48" s="11"/>
      <c r="U48" s="27"/>
      <c r="V48" s="44" t="s">
        <v>3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2:37" x14ac:dyDescent="0.25">
      <c r="B49" s="8"/>
      <c r="C49" s="12"/>
      <c r="D49" s="12"/>
      <c r="E49" s="12"/>
      <c r="F49" s="25"/>
      <c r="G49" s="35"/>
      <c r="H49" s="35"/>
      <c r="I49" s="36"/>
      <c r="J49" s="8"/>
      <c r="K49" s="11"/>
      <c r="L49" s="11"/>
      <c r="M49" s="11"/>
      <c r="N49" s="11"/>
      <c r="O49" s="11"/>
      <c r="P49" s="11"/>
      <c r="Q49" s="11"/>
      <c r="R49" s="16"/>
      <c r="S49" s="11"/>
      <c r="U49" s="27"/>
      <c r="V49" s="29" t="s">
        <v>145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x14ac:dyDescent="0.25">
      <c r="B50" s="8"/>
      <c r="C50" s="12"/>
      <c r="D50" s="12"/>
      <c r="E50" s="12"/>
      <c r="F50" s="25"/>
      <c r="G50" s="35"/>
      <c r="H50" s="35"/>
      <c r="I50" s="36"/>
      <c r="J50" s="8"/>
      <c r="K50" s="11"/>
      <c r="L50" s="11"/>
      <c r="M50" s="11"/>
      <c r="N50" s="11"/>
      <c r="O50" s="11"/>
      <c r="P50" s="11"/>
      <c r="Q50" s="11"/>
      <c r="R50" s="16"/>
      <c r="S50" s="11"/>
      <c r="U50" s="27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2:37" x14ac:dyDescent="0.25">
      <c r="B51" s="8"/>
      <c r="C51" s="12"/>
      <c r="D51" s="12"/>
      <c r="E51" s="12"/>
      <c r="F51" s="25"/>
      <c r="G51" s="35"/>
      <c r="H51" s="35"/>
      <c r="I51" s="36"/>
      <c r="J51" s="8"/>
      <c r="K51" s="11"/>
      <c r="L51" s="11"/>
      <c r="M51" s="11"/>
      <c r="N51" s="11"/>
      <c r="O51" s="11"/>
      <c r="P51" s="11"/>
      <c r="Q51" s="11"/>
      <c r="R51" s="16"/>
      <c r="S51" s="11"/>
      <c r="U51" s="27"/>
      <c r="V51" s="38" t="s">
        <v>104</v>
      </c>
      <c r="W51" s="38"/>
      <c r="X51" s="38"/>
      <c r="Y51" s="38"/>
      <c r="Z51" s="67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x14ac:dyDescent="0.25">
      <c r="B52" s="8"/>
      <c r="C52" s="12"/>
      <c r="D52" s="12"/>
      <c r="E52" s="12"/>
      <c r="F52" s="25"/>
      <c r="G52" s="35"/>
      <c r="H52" s="35"/>
      <c r="I52" s="36"/>
      <c r="J52" s="8"/>
      <c r="K52" s="11"/>
      <c r="L52" s="11"/>
      <c r="M52" s="11"/>
      <c r="N52" s="11"/>
      <c r="O52" s="11"/>
      <c r="P52" s="11"/>
      <c r="Q52" s="11"/>
      <c r="R52" s="16"/>
      <c r="S52" s="11"/>
      <c r="U52" s="27"/>
      <c r="V52" s="2" t="s">
        <v>35</v>
      </c>
      <c r="W52" s="38"/>
      <c r="X52" s="38"/>
      <c r="Y52" s="38"/>
      <c r="Z52" s="43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x14ac:dyDescent="0.25">
      <c r="B53" s="8"/>
      <c r="C53" s="12"/>
      <c r="D53" s="12"/>
      <c r="E53" s="12"/>
      <c r="F53" s="25"/>
      <c r="G53" s="35"/>
      <c r="H53" s="35"/>
      <c r="I53" s="36"/>
      <c r="J53" s="8"/>
      <c r="K53" s="11"/>
      <c r="L53" s="11"/>
      <c r="M53" s="11"/>
      <c r="N53" s="11"/>
      <c r="O53" s="11"/>
      <c r="P53" s="11"/>
      <c r="Q53" s="11"/>
      <c r="R53" s="16"/>
      <c r="S53" s="11"/>
      <c r="U53" s="27"/>
      <c r="V53" s="2" t="s">
        <v>36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2:37" x14ac:dyDescent="0.25">
      <c r="B54" s="8"/>
      <c r="C54" s="12"/>
      <c r="D54" s="12"/>
      <c r="E54" s="12"/>
      <c r="F54" s="25"/>
      <c r="G54" s="35"/>
      <c r="H54" s="35"/>
      <c r="I54" s="36"/>
      <c r="J54" s="8"/>
      <c r="K54" s="11"/>
      <c r="L54" s="11"/>
      <c r="M54" s="11"/>
      <c r="N54" s="11"/>
      <c r="O54" s="11"/>
      <c r="P54" s="11"/>
      <c r="Q54" s="11"/>
      <c r="R54" s="16"/>
      <c r="S54" s="11"/>
      <c r="U54" s="27"/>
      <c r="V54" s="2" t="s">
        <v>122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2:37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8"/>
      <c r="Q55" s="8"/>
      <c r="R55" s="8"/>
      <c r="S55" s="8"/>
      <c r="U55" s="27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2:37" x14ac:dyDescent="0.25"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8"/>
      <c r="Q56" s="8"/>
      <c r="R56" s="8"/>
      <c r="S56" s="8"/>
      <c r="U56" s="27"/>
      <c r="V56" s="45" t="s">
        <v>124</v>
      </c>
      <c r="W56" s="46"/>
      <c r="X56" s="46"/>
      <c r="Y56" s="42"/>
      <c r="Z56" s="42"/>
      <c r="AA56" s="47"/>
      <c r="AB56" s="47"/>
      <c r="AC56" s="29"/>
      <c r="AD56" s="29"/>
      <c r="AE56" s="29"/>
      <c r="AF56" s="29"/>
      <c r="AG56" s="47"/>
      <c r="AH56" s="29"/>
      <c r="AI56" s="29"/>
      <c r="AJ56" s="29"/>
      <c r="AK56" s="29"/>
    </row>
    <row r="57" spans="2:37" x14ac:dyDescent="0.25">
      <c r="B57" s="8"/>
      <c r="C57" s="26"/>
      <c r="D57" s="26"/>
      <c r="E57" s="2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8"/>
      <c r="Q57" s="8"/>
      <c r="R57" s="8"/>
      <c r="S57" s="8"/>
      <c r="U57" s="27"/>
      <c r="V57" s="29" t="s">
        <v>5</v>
      </c>
      <c r="W57" s="29"/>
      <c r="X57" s="29"/>
      <c r="Y57" s="29"/>
      <c r="Z57" s="67"/>
      <c r="AA57" s="29" t="s">
        <v>6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2:37" ht="15.75" x14ac:dyDescent="0.25">
      <c r="B58" s="8"/>
      <c r="C58" s="12"/>
      <c r="D58" s="12"/>
      <c r="E58" s="12"/>
      <c r="F58" s="118"/>
      <c r="G58" s="118"/>
      <c r="H58" s="11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U58" s="27"/>
      <c r="V58" s="29" t="s">
        <v>7</v>
      </c>
      <c r="W58" s="29"/>
      <c r="X58" s="29"/>
      <c r="Y58" s="38"/>
      <c r="Z58" s="117" t="str">
        <f>IF(Z57="","",0.062*Z57)</f>
        <v/>
      </c>
      <c r="AA58" s="29" t="s">
        <v>26</v>
      </c>
      <c r="AB58" s="29"/>
      <c r="AC58" s="29" t="s">
        <v>127</v>
      </c>
      <c r="AD58" s="29"/>
      <c r="AE58" s="29"/>
      <c r="AF58" s="29"/>
      <c r="AG58" s="29"/>
      <c r="AH58" s="29"/>
      <c r="AI58" s="29"/>
      <c r="AJ58" s="29"/>
      <c r="AK58" s="29"/>
    </row>
    <row r="59" spans="2:37" ht="16.5" customHeight="1" x14ac:dyDescent="0.25">
      <c r="B59" s="8"/>
      <c r="C59" s="12"/>
      <c r="D59" s="12"/>
      <c r="E59" s="12"/>
      <c r="F59" s="25"/>
      <c r="G59" s="25"/>
      <c r="H59" s="25"/>
      <c r="I59" s="8"/>
      <c r="J59" s="8"/>
      <c r="K59" s="11"/>
      <c r="L59" s="11"/>
      <c r="M59" s="11"/>
      <c r="N59" s="11"/>
      <c r="O59" s="11"/>
      <c r="P59" s="11"/>
      <c r="Q59" s="11"/>
      <c r="R59" s="11"/>
      <c r="S59" s="11"/>
      <c r="U59" s="27"/>
      <c r="V59" s="62" t="s">
        <v>81</v>
      </c>
      <c r="W59" s="62"/>
      <c r="X59" s="62"/>
      <c r="Y59" s="62"/>
      <c r="Z59" s="86" t="str">
        <f>IF(Z57="","",Z58-Ptab)</f>
        <v/>
      </c>
      <c r="AA59" s="47" t="s">
        <v>82</v>
      </c>
      <c r="AB59" s="47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2:37" x14ac:dyDescent="0.25">
      <c r="B60" s="8"/>
      <c r="C60" s="12"/>
      <c r="D60" s="12"/>
      <c r="E60" s="12"/>
      <c r="F60" s="25"/>
      <c r="G60" s="25"/>
      <c r="H60" s="25"/>
      <c r="I60" s="8"/>
      <c r="J60" s="8"/>
      <c r="K60" s="11"/>
      <c r="L60" s="11"/>
      <c r="M60" s="11"/>
      <c r="N60" s="11"/>
      <c r="O60" s="11"/>
      <c r="P60" s="11"/>
      <c r="Q60" s="11"/>
      <c r="R60" s="11"/>
      <c r="S60" s="11"/>
      <c r="U60" s="27"/>
      <c r="V60" s="29"/>
      <c r="W60" s="29"/>
      <c r="X60" s="29"/>
      <c r="Y60" s="38"/>
      <c r="Z60" s="42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2:37" x14ac:dyDescent="0.25">
      <c r="B61" s="8"/>
      <c r="C61" s="12"/>
      <c r="D61" s="12"/>
      <c r="E61" s="12"/>
      <c r="F61" s="25"/>
      <c r="G61" s="25"/>
      <c r="H61" s="25"/>
      <c r="I61" s="8"/>
      <c r="J61" s="8"/>
      <c r="K61" s="11"/>
      <c r="L61" s="11"/>
      <c r="M61" s="11"/>
      <c r="N61" s="11"/>
      <c r="O61" s="11"/>
      <c r="P61" s="11"/>
      <c r="Q61" s="11"/>
      <c r="R61" s="11"/>
      <c r="S61" s="11"/>
      <c r="U61" s="27"/>
      <c r="V61" s="29"/>
      <c r="W61" s="29"/>
      <c r="X61" s="29"/>
      <c r="Y61" s="38"/>
      <c r="Z61" s="42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2:37" x14ac:dyDescent="0.25">
      <c r="B62" s="8"/>
      <c r="C62" s="12"/>
      <c r="D62" s="12"/>
      <c r="E62" s="12"/>
      <c r="F62" s="25"/>
      <c r="G62" s="25"/>
      <c r="H62" s="25"/>
      <c r="I62" s="8"/>
      <c r="J62" s="8"/>
      <c r="K62" s="11"/>
      <c r="L62" s="11"/>
      <c r="M62" s="11"/>
      <c r="N62" s="11"/>
      <c r="O62" s="11"/>
      <c r="P62" s="11"/>
      <c r="Q62" s="11"/>
      <c r="R62" s="11"/>
      <c r="S62" s="11"/>
      <c r="U62" s="27"/>
      <c r="V62" s="45" t="s">
        <v>125</v>
      </c>
      <c r="W62" s="46"/>
      <c r="X62" s="46"/>
      <c r="Y62" s="38"/>
      <c r="Z62" s="42"/>
      <c r="AA62" s="42"/>
      <c r="AB62" s="42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2:37" x14ac:dyDescent="0.25">
      <c r="U63" s="27"/>
      <c r="V63" s="29" t="s">
        <v>11</v>
      </c>
      <c r="W63" s="29"/>
      <c r="X63" s="29"/>
      <c r="Y63" s="38"/>
      <c r="Z63" s="68"/>
      <c r="AA63" s="29"/>
      <c r="AB63" s="2"/>
      <c r="AC63" s="2"/>
      <c r="AD63" s="29"/>
      <c r="AE63" s="29"/>
      <c r="AF63" s="2"/>
      <c r="AG63" s="29"/>
      <c r="AH63" s="29"/>
      <c r="AI63" s="29"/>
      <c r="AJ63" s="29"/>
      <c r="AK63" s="29"/>
    </row>
    <row r="64" spans="2:37" ht="17.25" x14ac:dyDescent="0.25">
      <c r="U64" s="27"/>
      <c r="V64" s="2" t="s">
        <v>102</v>
      </c>
      <c r="W64" s="29"/>
      <c r="X64" s="29"/>
      <c r="Y64" s="38"/>
      <c r="Z64" s="3"/>
      <c r="AA64" s="29"/>
      <c r="AB64" s="2"/>
      <c r="AC64" s="2"/>
      <c r="AD64" s="29"/>
      <c r="AE64" s="29"/>
      <c r="AF64" s="2"/>
      <c r="AG64" s="29"/>
      <c r="AH64" s="29"/>
      <c r="AI64" s="29"/>
      <c r="AJ64" s="29"/>
      <c r="AK64" s="29"/>
    </row>
    <row r="65" spans="21:37" x14ac:dyDescent="0.25">
      <c r="U65" s="27"/>
      <c r="V65" s="2" t="s">
        <v>101</v>
      </c>
      <c r="W65" s="29"/>
      <c r="X65" s="29"/>
      <c r="Y65" s="38"/>
      <c r="Z65" s="3"/>
      <c r="AA65" s="29"/>
      <c r="AB65" s="2"/>
      <c r="AC65" s="2"/>
      <c r="AD65" s="29"/>
      <c r="AE65" s="29"/>
      <c r="AF65" s="2"/>
      <c r="AG65" s="29"/>
      <c r="AH65" s="29"/>
      <c r="AI65" s="29"/>
      <c r="AJ65" s="29"/>
      <c r="AK65" s="29"/>
    </row>
    <row r="66" spans="21:37" x14ac:dyDescent="0.25">
      <c r="U66" s="27"/>
      <c r="V66" s="2" t="s">
        <v>100</v>
      </c>
      <c r="W66" s="29"/>
      <c r="X66" s="29"/>
      <c r="Y66" s="38"/>
      <c r="Z66" s="3"/>
      <c r="AA66" s="29"/>
      <c r="AB66" s="2"/>
      <c r="AC66" s="2"/>
      <c r="AD66" s="29"/>
      <c r="AE66" s="29"/>
      <c r="AF66" s="2"/>
      <c r="AG66" s="29"/>
      <c r="AH66" s="29"/>
      <c r="AI66" s="29"/>
      <c r="AJ66" s="29"/>
      <c r="AK66" s="29"/>
    </row>
    <row r="67" spans="21:37" x14ac:dyDescent="0.25">
      <c r="U67" s="27"/>
      <c r="V67" s="29"/>
      <c r="W67" s="29"/>
      <c r="X67" s="29"/>
      <c r="Y67" s="38"/>
      <c r="Z67" s="42"/>
      <c r="AA67" s="29"/>
      <c r="AB67" s="2"/>
      <c r="AC67" s="2"/>
      <c r="AD67" s="29"/>
      <c r="AE67" s="29"/>
      <c r="AF67" s="2"/>
      <c r="AG67" s="29"/>
      <c r="AH67" s="29"/>
      <c r="AI67" s="29"/>
      <c r="AJ67" s="29"/>
      <c r="AK67" s="29"/>
    </row>
    <row r="68" spans="21:37" x14ac:dyDescent="0.25">
      <c r="U68" s="27"/>
      <c r="V68" s="29" t="s">
        <v>123</v>
      </c>
      <c r="W68" s="29"/>
      <c r="X68" s="29"/>
      <c r="Y68" s="38"/>
      <c r="Z68" s="42"/>
      <c r="AA68" s="29"/>
      <c r="AB68" s="53" t="str">
        <f>IF($Z$63="","",IF($Z$63=1,25,IF($Z$63=2,75,100)))</f>
        <v/>
      </c>
      <c r="AC68" s="48" t="s">
        <v>103</v>
      </c>
      <c r="AD68" s="29"/>
      <c r="AE68" s="29"/>
      <c r="AF68" s="2"/>
      <c r="AG68" s="29"/>
      <c r="AH68" s="29"/>
      <c r="AI68" s="29"/>
      <c r="AJ68" s="29"/>
      <c r="AK68" s="29"/>
    </row>
    <row r="69" spans="21:37" x14ac:dyDescent="0.25">
      <c r="U69" s="27"/>
      <c r="V69" s="29" t="s">
        <v>148</v>
      </c>
      <c r="W69" s="29"/>
      <c r="X69" s="29"/>
      <c r="Y69" s="38"/>
      <c r="Z69" s="49"/>
      <c r="AA69" s="48"/>
      <c r="AB69" s="48"/>
      <c r="AC69" s="48"/>
      <c r="AD69" s="48"/>
      <c r="AE69" s="48"/>
      <c r="AF69" s="48"/>
      <c r="AG69" s="48"/>
      <c r="AH69" s="48"/>
      <c r="AI69" s="29"/>
      <c r="AJ69" s="29"/>
      <c r="AK69" s="29"/>
    </row>
    <row r="70" spans="21:37" x14ac:dyDescent="0.25">
      <c r="U70" s="27"/>
      <c r="V70" s="29"/>
      <c r="W70" s="29"/>
      <c r="X70" s="29"/>
      <c r="Y70" s="38"/>
      <c r="Z70" s="49"/>
      <c r="AA70" s="48"/>
      <c r="AB70" s="48"/>
      <c r="AC70" s="48"/>
      <c r="AD70" s="48"/>
      <c r="AE70" s="48"/>
      <c r="AF70" s="48"/>
      <c r="AG70" s="48"/>
      <c r="AH70" s="48"/>
      <c r="AI70" s="29"/>
      <c r="AJ70" s="29"/>
      <c r="AK70" s="29"/>
    </row>
    <row r="71" spans="21:37" x14ac:dyDescent="0.25">
      <c r="U71" s="27"/>
      <c r="V71" s="83" t="s">
        <v>147</v>
      </c>
      <c r="W71" s="29"/>
      <c r="X71" s="29"/>
      <c r="Y71" s="38"/>
      <c r="Z71" s="49"/>
      <c r="AA71" s="48"/>
      <c r="AB71" s="48"/>
      <c r="AC71" s="48"/>
      <c r="AD71" s="48"/>
      <c r="AE71" s="48"/>
      <c r="AF71" s="48"/>
      <c r="AG71" s="48"/>
      <c r="AH71" s="48"/>
      <c r="AI71" s="29"/>
      <c r="AJ71" s="29"/>
      <c r="AK71" s="29"/>
    </row>
    <row r="72" spans="21:37" x14ac:dyDescent="0.25">
      <c r="U72" s="27"/>
      <c r="V72" s="29" t="s">
        <v>117</v>
      </c>
      <c r="W72" s="29"/>
      <c r="X72" s="29"/>
      <c r="Y72" s="38"/>
      <c r="Z72" s="67"/>
      <c r="AA72" s="48" t="s">
        <v>118</v>
      </c>
      <c r="AB72" s="48" t="s">
        <v>129</v>
      </c>
      <c r="AC72" s="48"/>
      <c r="AD72" s="48"/>
      <c r="AE72" s="48"/>
      <c r="AF72" s="48"/>
      <c r="AG72" s="48"/>
      <c r="AH72" s="48"/>
      <c r="AI72" s="29"/>
      <c r="AJ72" s="29"/>
      <c r="AK72" s="29"/>
    </row>
    <row r="73" spans="21:37" x14ac:dyDescent="0.25">
      <c r="U73" s="27"/>
      <c r="V73" s="29" t="s">
        <v>119</v>
      </c>
      <c r="W73" s="29"/>
      <c r="X73" s="29"/>
      <c r="Y73" s="38"/>
      <c r="Z73" s="67"/>
      <c r="AA73" s="48" t="s">
        <v>118</v>
      </c>
      <c r="AB73" s="80" t="str">
        <f>IF(Z73&gt;AB68,"Større end den maksimale bredde for denne type vandløb","")</f>
        <v/>
      </c>
      <c r="AC73" s="48"/>
      <c r="AD73" s="48"/>
      <c r="AE73" s="48"/>
      <c r="AF73" s="48"/>
      <c r="AG73" s="48"/>
      <c r="AH73" s="48"/>
      <c r="AI73" s="29"/>
      <c r="AJ73" s="29"/>
      <c r="AK73" s="29"/>
    </row>
    <row r="74" spans="21:37" x14ac:dyDescent="0.25">
      <c r="U74" s="27"/>
      <c r="V74" s="29" t="s">
        <v>8</v>
      </c>
      <c r="W74" s="29"/>
      <c r="X74" s="29"/>
      <c r="Y74" s="38"/>
      <c r="Z74" s="116" t="str">
        <f>IF(Z73="","",(Z72*Z73)/10000)</f>
        <v/>
      </c>
      <c r="AA74" s="29" t="s">
        <v>6</v>
      </c>
      <c r="AB74" s="48"/>
      <c r="AC74" s="48"/>
      <c r="AD74" s="48"/>
      <c r="AE74" s="29"/>
      <c r="AF74" s="2"/>
      <c r="AG74" s="29"/>
      <c r="AH74" s="29"/>
      <c r="AI74" s="29"/>
      <c r="AJ74" s="29"/>
      <c r="AK74" s="29"/>
    </row>
    <row r="75" spans="21:37" x14ac:dyDescent="0.25">
      <c r="U75" s="27"/>
      <c r="V75" s="29"/>
      <c r="W75" s="29"/>
      <c r="X75" s="29"/>
      <c r="Y75" s="38"/>
      <c r="Z75" s="48"/>
      <c r="AA75" s="29"/>
      <c r="AB75" s="48"/>
      <c r="AC75" s="48"/>
      <c r="AD75" s="48"/>
      <c r="AE75" s="29"/>
      <c r="AF75" s="2"/>
      <c r="AG75" s="29"/>
      <c r="AH75" s="29"/>
      <c r="AI75" s="29"/>
      <c r="AJ75" s="29"/>
      <c r="AK75" s="29"/>
    </row>
    <row r="76" spans="21:37" x14ac:dyDescent="0.25">
      <c r="U76" s="27"/>
      <c r="V76" s="83" t="s">
        <v>130</v>
      </c>
      <c r="W76" s="83"/>
      <c r="X76" s="83"/>
      <c r="Y76" s="83"/>
      <c r="Z76" s="84"/>
      <c r="AA76" s="83"/>
      <c r="AB76" s="84"/>
      <c r="AC76" s="84"/>
      <c r="AD76" s="48"/>
      <c r="AE76" s="29"/>
      <c r="AF76" s="2"/>
      <c r="AG76" s="29"/>
      <c r="AH76" s="29"/>
      <c r="AI76" s="29"/>
      <c r="AJ76" s="29"/>
      <c r="AK76" s="29"/>
    </row>
    <row r="77" spans="21:37" x14ac:dyDescent="0.25">
      <c r="U77" s="27"/>
      <c r="V77" s="29" t="s">
        <v>130</v>
      </c>
      <c r="W77" s="29"/>
      <c r="X77" s="29"/>
      <c r="Y77" s="29"/>
      <c r="Z77" s="67"/>
      <c r="AA77" s="29" t="s">
        <v>6</v>
      </c>
      <c r="AB77" s="48"/>
      <c r="AC77" s="48"/>
      <c r="AD77" s="48"/>
      <c r="AE77" s="29"/>
      <c r="AF77" s="2"/>
      <c r="AG77" s="29"/>
      <c r="AH77" s="29"/>
      <c r="AI77" s="29"/>
      <c r="AJ77" s="29"/>
      <c r="AK77" s="29"/>
    </row>
    <row r="78" spans="21:37" ht="15.75" x14ac:dyDescent="0.25">
      <c r="U78" s="27"/>
      <c r="V78" s="29" t="s">
        <v>131</v>
      </c>
      <c r="W78" s="29"/>
      <c r="X78" s="29"/>
      <c r="Y78" s="29"/>
      <c r="Z78" s="67"/>
      <c r="AA78" s="29" t="s">
        <v>149</v>
      </c>
      <c r="AB78" s="48"/>
      <c r="AC78" s="48"/>
      <c r="AD78" s="48"/>
      <c r="AE78" s="29"/>
      <c r="AF78" s="2"/>
      <c r="AG78" s="29"/>
      <c r="AH78" s="29"/>
      <c r="AI78" s="29"/>
      <c r="AJ78" s="29"/>
      <c r="AK78" s="29"/>
    </row>
    <row r="79" spans="21:37" x14ac:dyDescent="0.25">
      <c r="U79" s="27"/>
      <c r="V79" s="29"/>
      <c r="W79" s="29"/>
      <c r="X79" s="29"/>
      <c r="Y79" s="29"/>
      <c r="Z79" s="48"/>
      <c r="AA79" s="29"/>
      <c r="AB79" s="48"/>
      <c r="AC79" s="48"/>
      <c r="AD79" s="48"/>
      <c r="AE79" s="29"/>
      <c r="AF79" s="2"/>
      <c r="AG79" s="29"/>
      <c r="AH79" s="29"/>
      <c r="AI79" s="29"/>
      <c r="AJ79" s="29"/>
      <c r="AK79" s="29"/>
    </row>
    <row r="80" spans="21:37" x14ac:dyDescent="0.25">
      <c r="U80" s="27"/>
      <c r="V80" s="29" t="s">
        <v>9</v>
      </c>
      <c r="W80" s="29"/>
      <c r="X80" s="29"/>
      <c r="Y80" s="29"/>
      <c r="Z80" s="67"/>
      <c r="AA80" s="29" t="s">
        <v>10</v>
      </c>
      <c r="AB80" s="48"/>
      <c r="AC80" s="48"/>
      <c r="AD80" s="48"/>
      <c r="AE80" s="29"/>
      <c r="AF80" s="29"/>
      <c r="AG80" s="29"/>
      <c r="AH80" s="29"/>
      <c r="AI80" s="29"/>
      <c r="AJ80" s="29"/>
      <c r="AK80" s="29"/>
    </row>
    <row r="81" spans="21:37" x14ac:dyDescent="0.25">
      <c r="U81" s="27"/>
      <c r="V81" s="29"/>
      <c r="W81" s="29"/>
      <c r="X81" s="29"/>
      <c r="Y81" s="38"/>
      <c r="Z81" s="42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21:37" x14ac:dyDescent="0.25">
      <c r="U82" s="27"/>
      <c r="V82" s="29" t="s">
        <v>12</v>
      </c>
      <c r="W82" s="29"/>
      <c r="X82" s="29"/>
      <c r="Y82" s="38"/>
      <c r="Z82" s="42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21:37" ht="15.75" x14ac:dyDescent="0.25">
      <c r="U83" s="27"/>
      <c r="V83" s="29" t="s">
        <v>13</v>
      </c>
      <c r="W83" s="29"/>
      <c r="X83" s="29"/>
      <c r="Y83" s="38"/>
      <c r="Z83" s="87" t="str">
        <f>IF(Z63="","",nedbor)</f>
        <v/>
      </c>
      <c r="AA83" s="29" t="s">
        <v>27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21:37" ht="15.75" x14ac:dyDescent="0.25">
      <c r="U84" s="27"/>
      <c r="V84" s="29" t="s">
        <v>28</v>
      </c>
      <c r="W84" s="29"/>
      <c r="X84" s="29"/>
      <c r="Y84" s="38"/>
      <c r="Z84" s="75" t="str">
        <f>IF(Z83="","",(1-BFI)*Z83)</f>
        <v/>
      </c>
      <c r="AA84" s="29" t="s">
        <v>27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21:37" x14ac:dyDescent="0.25">
      <c r="U85" s="27"/>
      <c r="V85" s="29" t="s">
        <v>18</v>
      </c>
      <c r="W85" s="29"/>
      <c r="X85" s="29"/>
      <c r="Y85" s="38"/>
      <c r="Z85" s="75" t="str">
        <f>IF(Z83="","",js)</f>
        <v/>
      </c>
      <c r="AA85" s="29" t="s">
        <v>50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21:37" x14ac:dyDescent="0.25">
      <c r="U86" s="27"/>
      <c r="V86" s="29" t="s">
        <v>19</v>
      </c>
      <c r="W86" s="29"/>
      <c r="X86" s="29"/>
      <c r="Y86" s="38"/>
      <c r="Z86" s="67"/>
      <c r="AA86" s="29" t="s">
        <v>50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21:37" x14ac:dyDescent="0.25">
      <c r="U87" s="27"/>
      <c r="V87" s="29" t="s">
        <v>20</v>
      </c>
      <c r="W87" s="29"/>
      <c r="X87" s="29"/>
      <c r="Y87" s="38"/>
      <c r="Z87" s="67"/>
      <c r="AA87" s="29" t="s">
        <v>14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21:37" x14ac:dyDescent="0.25">
      <c r="U88" s="27"/>
      <c r="V88" s="29" t="s">
        <v>21</v>
      </c>
      <c r="W88" s="29"/>
      <c r="X88" s="29"/>
      <c r="Y88" s="38"/>
      <c r="Z88" s="67"/>
      <c r="AA88" s="29" t="s">
        <v>50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21:37" ht="15.75" x14ac:dyDescent="0.25">
      <c r="U89" s="27"/>
      <c r="V89" s="29" t="s">
        <v>15</v>
      </c>
      <c r="W89" s="29"/>
      <c r="X89" s="29"/>
      <c r="Y89" s="38"/>
      <c r="Z89" s="117" t="str">
        <f>IF(Z88="","",1.09*EXP(-7.6634+0.9208*LN(Z84)+0.0229*Z86+0.0092*Z85+0.0187*Z87-0.0412*Z88))</f>
        <v/>
      </c>
      <c r="AA89" s="29" t="s">
        <v>29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21:37" ht="15.75" x14ac:dyDescent="0.25">
      <c r="U90" s="27"/>
      <c r="V90" s="29" t="s">
        <v>16</v>
      </c>
      <c r="W90" s="29"/>
      <c r="X90" s="29"/>
      <c r="Y90" s="38"/>
      <c r="Z90" s="117" t="str">
        <f>IF(Z89="","",IF(Z89&lt;0.14,0.5,IF(AND(Z89&gt;=0.14,Z89&lt;=0.36),1,1.5)))</f>
        <v/>
      </c>
      <c r="AA90" s="29" t="s">
        <v>155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21:37" ht="15.75" x14ac:dyDescent="0.25">
      <c r="U91" s="27"/>
      <c r="V91" s="29" t="s">
        <v>106</v>
      </c>
      <c r="W91" s="29"/>
      <c r="X91" s="29"/>
      <c r="Y91" s="38"/>
      <c r="Z91" s="117" t="str">
        <f>IF(Z90="","",IF(AND(Z74="",Z77=""),"angiv areal",IF(Z77="",Z80*Z90*Z74,Z80*Z90*Z77)))</f>
        <v/>
      </c>
      <c r="AA91" s="29" t="s">
        <v>26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21:37" ht="17.25" x14ac:dyDescent="0.25">
      <c r="U92" s="27"/>
      <c r="V92" s="62" t="s">
        <v>81</v>
      </c>
      <c r="W92" s="62"/>
      <c r="X92" s="62"/>
      <c r="Y92" s="62"/>
      <c r="Z92" s="86" t="str">
        <f>IF(Z88="","",Fosfordeponi-Ptab)</f>
        <v/>
      </c>
      <c r="AA92" s="47" t="s">
        <v>82</v>
      </c>
      <c r="AB92" s="47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21:37" x14ac:dyDescent="0.25">
      <c r="U93" s="27"/>
      <c r="V93" s="29"/>
      <c r="W93" s="29"/>
      <c r="X93" s="29"/>
      <c r="Y93" s="29"/>
      <c r="Z93" s="42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21:37" x14ac:dyDescent="0.25">
      <c r="U94" s="27"/>
      <c r="V94" s="29"/>
      <c r="W94" s="29"/>
      <c r="X94" s="29"/>
      <c r="Y94" s="29"/>
      <c r="Z94" s="42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21:37" x14ac:dyDescent="0.25">
      <c r="U95" s="27"/>
      <c r="V95" s="50" t="s">
        <v>126</v>
      </c>
      <c r="W95" s="50"/>
      <c r="X95" s="50"/>
      <c r="Y95" s="38"/>
      <c r="Z95" s="42"/>
      <c r="AA95" s="42"/>
      <c r="AB95" s="42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21:37" x14ac:dyDescent="0.25">
      <c r="U96" s="27"/>
      <c r="V96" s="29" t="s">
        <v>17</v>
      </c>
      <c r="W96" s="29"/>
      <c r="X96" s="29"/>
      <c r="Y96" s="38"/>
      <c r="Z96" s="42"/>
      <c r="AA96" s="29"/>
      <c r="AB96" s="29"/>
      <c r="AC96" s="29"/>
      <c r="AD96" s="48"/>
      <c r="AE96" s="29"/>
      <c r="AF96" s="29"/>
      <c r="AG96" s="29"/>
      <c r="AH96" s="29"/>
      <c r="AI96" s="29"/>
      <c r="AJ96" s="29"/>
      <c r="AK96" s="29"/>
    </row>
    <row r="97" spans="21:37" x14ac:dyDescent="0.25">
      <c r="U97" s="27"/>
      <c r="V97" s="29"/>
      <c r="W97" s="29"/>
      <c r="X97" s="29"/>
      <c r="Y97" s="38"/>
      <c r="Z97" s="42"/>
      <c r="AA97" s="29"/>
      <c r="AB97" s="29"/>
      <c r="AC97" s="29"/>
      <c r="AD97" s="48"/>
      <c r="AE97" s="29"/>
      <c r="AF97" s="29"/>
      <c r="AG97" s="29"/>
      <c r="AH97" s="29"/>
      <c r="AI97" s="29"/>
      <c r="AJ97" s="29"/>
      <c r="AK97" s="29"/>
    </row>
    <row r="98" spans="21:37" ht="15.75" x14ac:dyDescent="0.25">
      <c r="U98" s="27"/>
      <c r="V98" s="29" t="s">
        <v>162</v>
      </c>
      <c r="W98" s="29"/>
      <c r="X98" s="29"/>
      <c r="Y98" s="38"/>
      <c r="Z98" s="92"/>
      <c r="AA98" s="29" t="s">
        <v>30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21:37" ht="15.75" x14ac:dyDescent="0.25">
      <c r="U99" s="27"/>
      <c r="V99" s="29" t="s">
        <v>97</v>
      </c>
      <c r="W99" s="29"/>
      <c r="X99" s="29"/>
      <c r="Y99" s="29"/>
      <c r="Z99" s="67"/>
      <c r="AA99" s="29" t="s">
        <v>31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21:37" ht="15.75" x14ac:dyDescent="0.25">
      <c r="U100" s="27"/>
      <c r="V100" s="29" t="s">
        <v>163</v>
      </c>
      <c r="W100" s="29"/>
      <c r="X100" s="29"/>
      <c r="Y100" s="38"/>
      <c r="Z100" s="67"/>
      <c r="AA100" s="29" t="s">
        <v>32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21:37" x14ac:dyDescent="0.25">
      <c r="U101" s="27"/>
      <c r="V101" s="29" t="s">
        <v>98</v>
      </c>
      <c r="W101" s="29"/>
      <c r="X101" s="29"/>
      <c r="Y101" s="38"/>
      <c r="Z101" s="117" t="str">
        <f>IF(Z100="","",Z99/Z100)</f>
        <v/>
      </c>
      <c r="AA101" s="29" t="s">
        <v>99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21:37" ht="15.75" x14ac:dyDescent="0.25">
      <c r="U102" s="27"/>
      <c r="V102" s="29" t="s">
        <v>164</v>
      </c>
      <c r="W102" s="29"/>
      <c r="X102" s="29"/>
      <c r="Y102" s="38"/>
      <c r="Z102" s="93" t="str">
        <f>IF(Z101="","",Z98/(1+Z101^0.5))</f>
        <v/>
      </c>
      <c r="AA102" s="29" t="s">
        <v>30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21:37" x14ac:dyDescent="0.25">
      <c r="U103" s="27"/>
      <c r="V103" s="29" t="s">
        <v>152</v>
      </c>
      <c r="W103" s="29"/>
      <c r="X103" s="29"/>
      <c r="Y103" s="38"/>
      <c r="Z103" s="117" t="str">
        <f>IF(Z100="","",(Z98/1000)*Z100)</f>
        <v/>
      </c>
      <c r="AA103" s="29" t="s">
        <v>151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21:37" x14ac:dyDescent="0.25">
      <c r="U104" s="27"/>
      <c r="V104" s="29" t="s">
        <v>153</v>
      </c>
      <c r="W104" s="29"/>
      <c r="X104" s="29"/>
      <c r="Y104" s="38"/>
      <c r="Z104" s="117" t="str">
        <f>IF(Z100="","",(Z102/1000)*Z100)</f>
        <v/>
      </c>
      <c r="AA104" s="29" t="s">
        <v>151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21:37" x14ac:dyDescent="0.25">
      <c r="U105" s="27"/>
      <c r="V105" s="29" t="s">
        <v>165</v>
      </c>
      <c r="W105" s="29"/>
      <c r="X105" s="29"/>
      <c r="Y105" s="38"/>
      <c r="Z105" s="117" t="str">
        <f>IF(Z100="","",Z103-Z104)</f>
        <v/>
      </c>
      <c r="AA105" s="29" t="s">
        <v>151</v>
      </c>
      <c r="AB105" s="29"/>
      <c r="AC105" s="29" t="s">
        <v>150</v>
      </c>
      <c r="AD105" s="29"/>
      <c r="AE105" s="29"/>
      <c r="AF105" s="29"/>
      <c r="AG105" s="29"/>
      <c r="AH105" s="29"/>
      <c r="AI105" s="29"/>
      <c r="AJ105" s="29"/>
      <c r="AK105" s="29"/>
    </row>
    <row r="106" spans="21:37" ht="17.25" x14ac:dyDescent="0.25">
      <c r="U106" s="27"/>
      <c r="V106" s="62" t="s">
        <v>81</v>
      </c>
      <c r="W106" s="62"/>
      <c r="X106" s="62"/>
      <c r="Y106" s="62"/>
      <c r="Z106" s="86" t="str">
        <f>IF(Z100="","",Z105-Ptab)</f>
        <v/>
      </c>
      <c r="AA106" s="47" t="s">
        <v>82</v>
      </c>
      <c r="AB106" s="47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21:37" x14ac:dyDescent="0.25">
      <c r="U107" s="27"/>
      <c r="V107" s="29"/>
      <c r="W107" s="29"/>
      <c r="X107" s="29"/>
      <c r="Y107" s="38"/>
      <c r="Z107" s="42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21:37" x14ac:dyDescent="0.25">
      <c r="U108" s="27"/>
      <c r="V108" s="38" t="s">
        <v>120</v>
      </c>
      <c r="W108" s="29"/>
      <c r="X108" s="29"/>
      <c r="Y108" s="38"/>
      <c r="Z108" s="42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21:37" x14ac:dyDescent="0.25">
      <c r="U109" s="27"/>
      <c r="V109" s="38" t="s">
        <v>121</v>
      </c>
      <c r="W109" s="29"/>
      <c r="X109" s="29"/>
      <c r="Y109" s="38"/>
      <c r="Z109" s="42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21:37" ht="15.75" x14ac:dyDescent="0.25">
      <c r="U110" s="27"/>
      <c r="V110" s="44"/>
      <c r="W110" s="38"/>
      <c r="X110" s="38"/>
      <c r="Y110" s="38"/>
      <c r="Z110" s="43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</row>
    <row r="111" spans="21:37" x14ac:dyDescent="0.25">
      <c r="U111" s="27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</row>
    <row r="117" spans="3:18" hidden="1" x14ac:dyDescent="0.25">
      <c r="C117" s="4" t="s">
        <v>107</v>
      </c>
    </row>
    <row r="118" spans="3:18" hidden="1" x14ac:dyDescent="0.25">
      <c r="C118" s="51" t="s">
        <v>58</v>
      </c>
      <c r="D118" s="51"/>
      <c r="E118" s="51"/>
      <c r="F118" s="51" t="s">
        <v>59</v>
      </c>
      <c r="G118" s="51" t="s">
        <v>69</v>
      </c>
      <c r="H118" s="51" t="s">
        <v>66</v>
      </c>
      <c r="I118" s="51" t="s">
        <v>64</v>
      </c>
      <c r="J118" s="51"/>
      <c r="K118" s="51"/>
      <c r="L118" s="51"/>
      <c r="M118" s="51" t="s">
        <v>71</v>
      </c>
      <c r="N118" s="51"/>
      <c r="O118" s="51" t="s">
        <v>4</v>
      </c>
      <c r="P118" s="51"/>
      <c r="Q118" s="51"/>
      <c r="R118" s="51" t="s">
        <v>11</v>
      </c>
    </row>
    <row r="119" spans="3:18" hidden="1" x14ac:dyDescent="0.25">
      <c r="C119" s="51" t="s">
        <v>43</v>
      </c>
      <c r="D119" s="51"/>
      <c r="E119" s="51"/>
      <c r="F119" s="51">
        <v>0</v>
      </c>
      <c r="G119" s="51">
        <v>1</v>
      </c>
      <c r="H119" s="51" t="s">
        <v>34</v>
      </c>
      <c r="I119" s="52">
        <v>1</v>
      </c>
      <c r="J119" s="51"/>
      <c r="K119" s="51"/>
      <c r="L119" s="51"/>
      <c r="M119" s="51" t="s">
        <v>72</v>
      </c>
      <c r="N119" s="51">
        <v>30.973761</v>
      </c>
      <c r="O119" s="54" t="s">
        <v>39</v>
      </c>
      <c r="P119" s="54" t="s">
        <v>35</v>
      </c>
      <c r="Q119" s="54"/>
      <c r="R119" s="51">
        <v>1</v>
      </c>
    </row>
    <row r="120" spans="3:18" hidden="1" x14ac:dyDescent="0.25">
      <c r="C120" s="51" t="s">
        <v>44</v>
      </c>
      <c r="D120" s="51"/>
      <c r="E120" s="51"/>
      <c r="F120" s="51" t="s">
        <v>60</v>
      </c>
      <c r="G120" s="51">
        <v>0.5</v>
      </c>
      <c r="H120" s="51" t="s">
        <v>33</v>
      </c>
      <c r="I120" s="51"/>
      <c r="J120" s="51"/>
      <c r="K120" s="51"/>
      <c r="L120" s="51"/>
      <c r="M120" s="51" t="s">
        <v>73</v>
      </c>
      <c r="N120" s="51">
        <v>55.845700000000001</v>
      </c>
      <c r="O120" s="54" t="s">
        <v>40</v>
      </c>
      <c r="P120" s="54" t="s">
        <v>36</v>
      </c>
      <c r="Q120" s="54"/>
      <c r="R120" s="51">
        <v>2</v>
      </c>
    </row>
    <row r="121" spans="3:18" hidden="1" x14ac:dyDescent="0.25">
      <c r="C121" s="51" t="s">
        <v>45</v>
      </c>
      <c r="D121" s="51"/>
      <c r="E121" s="51"/>
      <c r="F121" s="51" t="s">
        <v>61</v>
      </c>
      <c r="G121" s="51">
        <v>0</v>
      </c>
      <c r="H121" s="51" t="s">
        <v>68</v>
      </c>
      <c r="I121" s="51"/>
      <c r="J121" s="51"/>
      <c r="K121" s="51"/>
      <c r="L121" s="51"/>
      <c r="M121" s="51"/>
      <c r="N121" s="51"/>
      <c r="O121" s="54" t="s">
        <v>41</v>
      </c>
      <c r="P121" s="54" t="s">
        <v>37</v>
      </c>
      <c r="Q121" s="54"/>
      <c r="R121" s="51">
        <v>3</v>
      </c>
    </row>
    <row r="122" spans="3:18" hidden="1" x14ac:dyDescent="0.2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4" t="s">
        <v>42</v>
      </c>
      <c r="P122" s="54" t="s">
        <v>38</v>
      </c>
      <c r="Q122" s="54"/>
      <c r="R122" s="51"/>
    </row>
    <row r="123" spans="3:18" hidden="1" x14ac:dyDescent="0.2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3:18" hidden="1" x14ac:dyDescent="0.25">
      <c r="C124" s="51" t="s">
        <v>53</v>
      </c>
      <c r="D124" s="51"/>
      <c r="E124" s="51" t="s">
        <v>74</v>
      </c>
      <c r="F124" s="51"/>
      <c r="G124" s="51"/>
      <c r="H124" s="51"/>
      <c r="I124" s="51" t="s">
        <v>94</v>
      </c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3:18" hidden="1" x14ac:dyDescent="0.25">
      <c r="C125" s="51">
        <v>1</v>
      </c>
      <c r="D125" s="51"/>
      <c r="E125" s="51"/>
      <c r="F125" s="51" t="s">
        <v>75</v>
      </c>
      <c r="G125" s="51"/>
      <c r="H125" s="51"/>
      <c r="I125" s="51" t="s">
        <v>43</v>
      </c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3:18" hidden="1" x14ac:dyDescent="0.25">
      <c r="C126" s="51">
        <v>2</v>
      </c>
      <c r="D126" s="51"/>
      <c r="E126" s="51"/>
      <c r="F126" s="51" t="s">
        <v>76</v>
      </c>
      <c r="G126" s="51"/>
      <c r="H126" s="51"/>
      <c r="I126" s="51" t="s">
        <v>95</v>
      </c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3:18" hidden="1" x14ac:dyDescent="0.25">
      <c r="C127" s="51">
        <v>3</v>
      </c>
      <c r="D127" s="51"/>
      <c r="E127" s="51"/>
      <c r="F127" s="51" t="s">
        <v>77</v>
      </c>
      <c r="G127" s="51"/>
      <c r="H127" s="51"/>
      <c r="I127" s="51" t="s">
        <v>96</v>
      </c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3:18" hidden="1" x14ac:dyDescent="0.25">
      <c r="C128" s="51">
        <v>4</v>
      </c>
      <c r="D128" s="51"/>
      <c r="E128" s="10"/>
      <c r="F128" s="13" t="s">
        <v>80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3:19" hidden="1" x14ac:dyDescent="0.25">
      <c r="C129" s="51">
        <v>5</v>
      </c>
      <c r="D129" s="51"/>
      <c r="E129" s="55" t="s">
        <v>78</v>
      </c>
      <c r="F129" s="34">
        <v>27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3:19" hidden="1" x14ac:dyDescent="0.25">
      <c r="C130" s="51">
        <v>6</v>
      </c>
      <c r="D130" s="51"/>
      <c r="E130" s="55" t="s">
        <v>67</v>
      </c>
      <c r="F130" s="34">
        <v>21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3:19" hidden="1" x14ac:dyDescent="0.25">
      <c r="C131" s="51">
        <v>7</v>
      </c>
      <c r="D131" s="51"/>
      <c r="E131" s="56" t="s">
        <v>79</v>
      </c>
      <c r="F131" s="34">
        <v>16</v>
      </c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"/>
    </row>
    <row r="132" spans="3:19" hidden="1" x14ac:dyDescent="0.25">
      <c r="C132" s="51">
        <v>8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3:19" hidden="1" x14ac:dyDescent="0.25">
      <c r="C133" s="51">
        <v>9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3:19" hidden="1" x14ac:dyDescent="0.25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</sheetData>
  <sheetProtection password="EB33" sheet="1" objects="1" scenarios="1" selectLockedCells="1"/>
  <dataConsolidate/>
  <mergeCells count="35">
    <mergeCell ref="W35:Y35"/>
    <mergeCell ref="AA35:AB35"/>
    <mergeCell ref="E36:F36"/>
    <mergeCell ref="G36:I36"/>
    <mergeCell ref="L36:M36"/>
    <mergeCell ref="W36:Y36"/>
    <mergeCell ref="AA36:AB36"/>
    <mergeCell ref="B6:S6"/>
    <mergeCell ref="E37:F37"/>
    <mergeCell ref="G37:I37"/>
    <mergeCell ref="G32:I32"/>
    <mergeCell ref="L33:M33"/>
    <mergeCell ref="L37:M37"/>
    <mergeCell ref="E34:F34"/>
    <mergeCell ref="G34:I34"/>
    <mergeCell ref="L34:M34"/>
    <mergeCell ref="E35:F35"/>
    <mergeCell ref="G35:I35"/>
    <mergeCell ref="L35:M35"/>
    <mergeCell ref="F58:H58"/>
    <mergeCell ref="K8:N8"/>
    <mergeCell ref="E33:F33"/>
    <mergeCell ref="G33:I33"/>
    <mergeCell ref="U26:AD27"/>
    <mergeCell ref="W37:Y37"/>
    <mergeCell ref="W33:Y33"/>
    <mergeCell ref="AA33:AB33"/>
    <mergeCell ref="AA37:AB37"/>
    <mergeCell ref="H39:M39"/>
    <mergeCell ref="C39:F39"/>
    <mergeCell ref="L32:N32"/>
    <mergeCell ref="W44:X44"/>
    <mergeCell ref="W41:X41"/>
    <mergeCell ref="W34:Y34"/>
    <mergeCell ref="AA34:AB34"/>
  </mergeCells>
  <phoneticPr fontId="22" type="noConversion"/>
  <conditionalFormatting sqref="Z73">
    <cfRule type="cellIs" dxfId="1" priority="1" operator="greaterThan">
      <formula>$AB$68</formula>
    </cfRule>
    <cfRule type="cellIs" dxfId="0" priority="2" operator="greaterThan">
      <formula>$AB$68</formula>
    </cfRule>
  </conditionalFormatting>
  <dataValidations count="8">
    <dataValidation type="list" showInputMessage="1" showErrorMessage="1" sqref="Z63">
      <formula1>$R$119:$R$121</formula1>
    </dataValidation>
    <dataValidation type="list" allowBlank="1" showInputMessage="1" showErrorMessage="1" sqref="G24">
      <formula1>$C$125:$C$133</formula1>
    </dataValidation>
    <dataValidation type="list" showInputMessage="1" showErrorMessage="1" sqref="Z51">
      <formula1>$O$119:$O$121</formula1>
    </dataValidation>
    <dataValidation type="list" allowBlank="1" showInputMessage="1" showErrorMessage="1" sqref="G14">
      <formula1>$F$125:$F$127</formula1>
    </dataValidation>
    <dataValidation type="list" allowBlank="1" showInputMessage="1" showErrorMessage="1" sqref="O34:O37">
      <formula1>$H$119:$H$121</formula1>
    </dataValidation>
    <dataValidation type="list" allowBlank="1" showInputMessage="1" showErrorMessage="1" sqref="E34:F37">
      <formula1>$C$119:$C$121</formula1>
    </dataValidation>
    <dataValidation type="list" showInputMessage="1" showErrorMessage="1" sqref="G34:I37">
      <formula1>$F$120:$F$121</formula1>
    </dataValidation>
    <dataValidation type="list" allowBlank="1" showInputMessage="1" showErrorMessage="1" sqref="N34:N37">
      <formula1>$G$119:$G$121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Vandgennemstrømning</vt:lpstr>
      <vt:lpstr>areal</vt:lpstr>
      <vt:lpstr>BFI</vt:lpstr>
      <vt:lpstr>Fe</vt:lpstr>
      <vt:lpstr>Fosfordeponi</vt:lpstr>
      <vt:lpstr>georegion</vt:lpstr>
      <vt:lpstr>input</vt:lpstr>
      <vt:lpstr>j_9</vt:lpstr>
      <vt:lpstr>js</vt:lpstr>
      <vt:lpstr>nedbor</vt:lpstr>
      <vt:lpstr>netto_nedboer</vt:lpstr>
      <vt:lpstr>oplands_areal</vt:lpstr>
      <vt:lpstr>P</vt:lpstr>
      <vt:lpstr>Pdeponi</vt:lpstr>
      <vt:lpstr>PSØ</vt:lpstr>
      <vt:lpstr>Ptab</vt:lpstr>
      <vt:lpstr>Q_OF</vt:lpstr>
      <vt:lpstr>Årlig_nedbør</vt:lpstr>
    </vt:vector>
  </TitlesOfParts>
  <Company>Aarhus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Ditte Forsmann</dc:creator>
  <cp:lastModifiedBy>Charlotte Kjærgaard</cp:lastModifiedBy>
  <cp:lastPrinted>2014-06-02T08:54:03Z</cp:lastPrinted>
  <dcterms:created xsi:type="dcterms:W3CDTF">2014-02-04T07:29:45Z</dcterms:created>
  <dcterms:modified xsi:type="dcterms:W3CDTF">2014-06-26T11:01:35Z</dcterms:modified>
</cp:coreProperties>
</file>